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HREEJI CORPORATION\Desktop\itr\"/>
    </mc:Choice>
  </mc:AlternateContent>
  <workbookProtection workbookAlgorithmName="SHA-512" workbookHashValue="kFz7aYYrQ6A/7CJraGaFHdJwuUkvxk5VEoDoqocjRqucoyQ3W8pHVBMHRVcMzDY34883LdpaLznGOw9VJSY+rg==" workbookSaltValue="HiKsQs4bKbmNg4XraZv0sA==" workbookSpinCount="100000" lockStructure="1"/>
  <bookViews>
    <workbookView xWindow="0" yWindow="0" windowWidth="23040" windowHeight="9192" activeTab="2"/>
  </bookViews>
  <sheets>
    <sheet name="SALARY" sheetId="3" r:id="rId1"/>
    <sheet name="FINAL_SHEET" sheetId="5" r:id="rId2"/>
    <sheet name="CALCULATOR" sheetId="6" r:id="rId3"/>
  </sheets>
  <definedNames>
    <definedName name="_xlnm.Print_Area" localSheetId="0">SALARY!$A$1:$T$34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3" l="1"/>
  <c r="C14" i="3" l="1"/>
  <c r="D14" i="3" s="1"/>
  <c r="C13" i="3"/>
  <c r="C12" i="3"/>
  <c r="C16" i="3" l="1"/>
  <c r="N14" i="3" l="1"/>
  <c r="M15" i="3"/>
  <c r="M12" i="3"/>
  <c r="L18" i="3"/>
  <c r="L22" i="3"/>
  <c r="M18" i="3"/>
  <c r="M19" i="3"/>
  <c r="M21" i="3"/>
  <c r="L12" i="3"/>
  <c r="D16" i="3"/>
  <c r="G12" i="3"/>
  <c r="D15" i="3"/>
  <c r="C17" i="3" l="1"/>
  <c r="C18" i="3" s="1"/>
  <c r="C19" i="3" s="1"/>
  <c r="D12" i="3"/>
  <c r="D17" i="3" l="1"/>
  <c r="D13" i="3"/>
  <c r="E16" i="3"/>
  <c r="D18" i="3" l="1"/>
  <c r="E17" i="3"/>
  <c r="E18" i="3" s="1"/>
  <c r="E19" i="3" s="1"/>
  <c r="E20" i="3" s="1"/>
  <c r="E21" i="3" s="1"/>
  <c r="E22" i="3" s="1"/>
  <c r="E12" i="3"/>
  <c r="E13" i="3" s="1"/>
  <c r="E14" i="3" s="1"/>
  <c r="C21" i="3" l="1"/>
  <c r="D19" i="3"/>
  <c r="Z11" i="3"/>
  <c r="AA9" i="3" s="1"/>
  <c r="R12" i="3"/>
  <c r="R13" i="3"/>
  <c r="R14" i="3" s="1"/>
  <c r="AR6" i="3"/>
  <c r="AA6" i="3"/>
  <c r="Q12" i="3"/>
  <c r="Q13" i="3"/>
  <c r="Q14" i="3"/>
  <c r="Q15" i="3" s="1"/>
  <c r="O12" i="3"/>
  <c r="N12" i="3"/>
  <c r="N13" i="3" s="1"/>
  <c r="M13" i="3"/>
  <c r="M14" i="3" s="1"/>
  <c r="M16" i="3" s="1"/>
  <c r="M17" i="3" s="1"/>
  <c r="M20" i="3" s="1"/>
  <c r="M22" i="3" s="1"/>
  <c r="L13" i="3"/>
  <c r="M10" i="5"/>
  <c r="G13" i="3"/>
  <c r="F12" i="3"/>
  <c r="F13" i="3" s="1"/>
  <c r="X11" i="3"/>
  <c r="Y11" i="3" s="1"/>
  <c r="X12" i="3" s="1"/>
  <c r="Y12" i="3" s="1"/>
  <c r="O29" i="3"/>
  <c r="A30" i="3"/>
  <c r="B32" i="3"/>
  <c r="E29" i="3"/>
  <c r="J29" i="3" s="1"/>
  <c r="P24" i="3"/>
  <c r="Q33" i="3"/>
  <c r="H13" i="5"/>
  <c r="I23" i="3"/>
  <c r="AS6" i="3"/>
  <c r="AR7" i="3" s="1"/>
  <c r="AS7" i="3" s="1"/>
  <c r="O11" i="5"/>
  <c r="AC10" i="3" l="1"/>
  <c r="AR8" i="3"/>
  <c r="AS8" i="3" s="1"/>
  <c r="R15" i="3"/>
  <c r="R16" i="3" s="1"/>
  <c r="R17" i="3" s="1"/>
  <c r="R18" i="3" s="1"/>
  <c r="R19" i="3" s="1"/>
  <c r="R20" i="3" s="1"/>
  <c r="R21" i="3" s="1"/>
  <c r="R22" i="3" s="1"/>
  <c r="Q16" i="3"/>
  <c r="Q17" i="3" s="1"/>
  <c r="Q18" i="3" s="1"/>
  <c r="Q19" i="3" s="1"/>
  <c r="Q20" i="3" s="1"/>
  <c r="Q21" i="3" s="1"/>
  <c r="Q22" i="3" s="1"/>
  <c r="Q23" i="3"/>
  <c r="AA10" i="3"/>
  <c r="M23" i="3"/>
  <c r="AB10" i="3"/>
  <c r="D20" i="3"/>
  <c r="D21" i="3" s="1"/>
  <c r="G14" i="3"/>
  <c r="G15" i="3" s="1"/>
  <c r="G16" i="3" s="1"/>
  <c r="G17" i="3" s="1"/>
  <c r="G18" i="3" s="1"/>
  <c r="G19" i="3" s="1"/>
  <c r="G20" i="3" s="1"/>
  <c r="G21" i="3" s="1"/>
  <c r="G22" i="3" s="1"/>
  <c r="O13" i="3"/>
  <c r="O14" i="3" s="1"/>
  <c r="O15" i="3" s="1"/>
  <c r="O16" i="3" s="1"/>
  <c r="O17" i="3" s="1"/>
  <c r="O18" i="3" s="1"/>
  <c r="O19" i="3" s="1"/>
  <c r="O20" i="3" s="1"/>
  <c r="O21" i="3" s="1"/>
  <c r="O22" i="3" s="1"/>
  <c r="L14" i="3"/>
  <c r="L15" i="3" s="1"/>
  <c r="L16" i="3" s="1"/>
  <c r="L17" i="3" s="1"/>
  <c r="L19" i="3" s="1"/>
  <c r="L20" i="3" s="1"/>
  <c r="L21" i="3" s="1"/>
  <c r="L23" i="3"/>
  <c r="J32" i="3" s="1"/>
  <c r="F14" i="3"/>
  <c r="F15" i="3" s="1"/>
  <c r="F16" i="3" s="1"/>
  <c r="F17" i="3" s="1"/>
  <c r="F18" i="3" s="1"/>
  <c r="F19" i="3" s="1"/>
  <c r="F20" i="3" s="1"/>
  <c r="F21" i="3" s="1"/>
  <c r="F22" i="3" s="1"/>
  <c r="E23" i="3"/>
  <c r="J11" i="3"/>
  <c r="AB15" i="3"/>
  <c r="P11" i="3" s="1"/>
  <c r="S11" i="3" s="1"/>
  <c r="N15" i="3"/>
  <c r="N16" i="3" s="1"/>
  <c r="N17" i="3" s="1"/>
  <c r="N18" i="3" s="1"/>
  <c r="N19" i="3" s="1"/>
  <c r="N20" i="3" s="1"/>
  <c r="N21" i="3" s="1"/>
  <c r="N22" i="3" s="1"/>
  <c r="X13" i="3"/>
  <c r="Y13" i="3" s="1"/>
  <c r="AR9" i="3" l="1"/>
  <c r="AS9" i="3" s="1"/>
  <c r="AD10" i="3"/>
  <c r="R23" i="3"/>
  <c r="C22" i="3"/>
  <c r="D22" i="3" s="1"/>
  <c r="G23" i="3"/>
  <c r="O28" i="3" s="1"/>
  <c r="O31" i="3" s="1"/>
  <c r="J33" i="3" s="1"/>
  <c r="L32" i="3" s="1"/>
  <c r="O23" i="3"/>
  <c r="D2" i="5" s="1"/>
  <c r="F23" i="3"/>
  <c r="N23" i="3"/>
  <c r="H2" i="5" s="1"/>
  <c r="J12" i="3"/>
  <c r="X14" i="3"/>
  <c r="Y14" i="3" s="1"/>
  <c r="AE10" i="3" l="1"/>
  <c r="AR10" i="3"/>
  <c r="AS10" i="3" s="1"/>
  <c r="X15" i="3"/>
  <c r="Y15" i="3" s="1"/>
  <c r="Z12" i="3"/>
  <c r="AB9" i="3" s="1"/>
  <c r="AB16" i="3" s="1"/>
  <c r="P12" i="3" s="1"/>
  <c r="Z13" i="3"/>
  <c r="AC9" i="3" s="1"/>
  <c r="AB17" i="3" s="1"/>
  <c r="P13" i="3" s="1"/>
  <c r="S13" i="3" s="1"/>
  <c r="AF10" i="3" l="1"/>
  <c r="AR11" i="3"/>
  <c r="AS11" i="3" s="1"/>
  <c r="AR12" i="3" s="1"/>
  <c r="AS12" i="3" s="1"/>
  <c r="S12" i="3"/>
  <c r="X16" i="3"/>
  <c r="Y16" i="3" s="1"/>
  <c r="J13" i="3"/>
  <c r="AG10" i="3" l="1"/>
  <c r="AR13" i="3"/>
  <c r="AS13" i="3" s="1"/>
  <c r="Z14" i="3"/>
  <c r="AD9" i="3" s="1"/>
  <c r="AB18" i="3" s="1"/>
  <c r="P14" i="3" s="1"/>
  <c r="J14" i="3"/>
  <c r="Z15" i="3"/>
  <c r="AE9" i="3" s="1"/>
  <c r="AB19" i="3" s="1"/>
  <c r="P15" i="3" s="1"/>
  <c r="S15" i="3" s="1"/>
  <c r="X17" i="3"/>
  <c r="Y17" i="3" s="1"/>
  <c r="AH10" i="3" l="1"/>
  <c r="AR14" i="3"/>
  <c r="AS14" i="3" s="1"/>
  <c r="S14" i="3"/>
  <c r="J15" i="3"/>
  <c r="X18" i="3"/>
  <c r="Y18" i="3" s="1"/>
  <c r="AR15" i="3" l="1"/>
  <c r="AS15" i="3" s="1"/>
  <c r="AI10" i="3"/>
  <c r="X19" i="3"/>
  <c r="Y19" i="3" s="1"/>
  <c r="AJ10" i="3" l="1"/>
  <c r="AR16" i="3"/>
  <c r="AS16" i="3" s="1"/>
  <c r="X20" i="3"/>
  <c r="Y20" i="3" s="1"/>
  <c r="AK10" i="3" l="1"/>
  <c r="AR17" i="3"/>
  <c r="AS17" i="3" s="1"/>
  <c r="AL10" i="3" s="1"/>
  <c r="X21" i="3"/>
  <c r="Y21" i="3" s="1"/>
  <c r="X22" i="3" l="1"/>
  <c r="Y22" i="3" s="1"/>
  <c r="J16" i="3"/>
  <c r="Z16" i="3" l="1"/>
  <c r="AF9" i="3" s="1"/>
  <c r="AB20" i="3" s="1"/>
  <c r="P16" i="3" s="1"/>
  <c r="S16" i="3" s="1"/>
  <c r="J19" i="3"/>
  <c r="Z19" i="3"/>
  <c r="AI9" i="3" s="1"/>
  <c r="AB23" i="3" s="1"/>
  <c r="P19" i="3" s="1"/>
  <c r="S19" i="3" s="1"/>
  <c r="J22" i="3"/>
  <c r="Z20" i="3"/>
  <c r="AJ9" i="3" s="1"/>
  <c r="AB24" i="3" s="1"/>
  <c r="P20" i="3" s="1"/>
  <c r="S20" i="3" s="1"/>
  <c r="Z18" i="3"/>
  <c r="AH9" i="3" s="1"/>
  <c r="AB22" i="3" s="1"/>
  <c r="P18" i="3" s="1"/>
  <c r="S18" i="3" s="1"/>
  <c r="J21" i="3"/>
  <c r="C23" i="3"/>
  <c r="Z17" i="3"/>
  <c r="AG9" i="3" s="1"/>
  <c r="AB21" i="3" s="1"/>
  <c r="P17" i="3" s="1"/>
  <c r="Z22" i="3" l="1"/>
  <c r="AL9" i="3" s="1"/>
  <c r="AB26" i="3" s="1"/>
  <c r="P22" i="3" s="1"/>
  <c r="S22" i="3" s="1"/>
  <c r="Z21" i="3"/>
  <c r="AK9" i="3" s="1"/>
  <c r="AB25" i="3" s="1"/>
  <c r="P21" i="3" s="1"/>
  <c r="S21" i="3" s="1"/>
  <c r="S17" i="3"/>
  <c r="J17" i="3"/>
  <c r="J18" i="3"/>
  <c r="D23" i="3"/>
  <c r="J23" i="3" s="1"/>
  <c r="J28" i="3" s="1"/>
  <c r="J20" i="3"/>
  <c r="P23" i="3" l="1"/>
  <c r="S23" i="3" s="1"/>
  <c r="E32" i="3"/>
  <c r="J30" i="3"/>
  <c r="E31" i="3"/>
  <c r="AU13" i="3" l="1"/>
  <c r="D4" i="5" s="1"/>
  <c r="H6" i="5" s="1"/>
  <c r="H8" i="5" s="1"/>
  <c r="D2" i="6"/>
  <c r="D4" i="6" s="1"/>
  <c r="D10" i="6" s="1"/>
  <c r="J34" i="3"/>
  <c r="H7" i="5" s="1"/>
  <c r="D9" i="6" l="1"/>
  <c r="D7" i="6"/>
  <c r="D8" i="6"/>
  <c r="D5" i="6"/>
  <c r="D11" i="6"/>
  <c r="H9" i="5"/>
  <c r="H11" i="5" s="1"/>
  <c r="K19" i="5" s="1"/>
  <c r="D13" i="6" l="1"/>
  <c r="K18" i="5"/>
  <c r="K17" i="5"/>
  <c r="D14" i="6"/>
  <c r="D15" i="6" l="1"/>
  <c r="D16" i="6" s="1"/>
  <c r="K21" i="5"/>
  <c r="K23" i="5" s="1"/>
  <c r="K24" i="5" s="1"/>
  <c r="K26" i="5" s="1"/>
  <c r="D18" i="6" l="1"/>
  <c r="D19" i="6" s="1"/>
  <c r="AR5" i="3"/>
</calcChain>
</file>

<file path=xl/comments1.xml><?xml version="1.0" encoding="utf-8"?>
<comments xmlns="http://schemas.openxmlformats.org/spreadsheetml/2006/main">
  <authors>
    <author>intel</author>
    <author>DELL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</rPr>
          <t>કુ.ક. ઈજાફો અને અપંગ એલાઉન્સ</t>
        </r>
      </text>
    </comment>
    <comment ref="M10" authorId="0" shapeId="0">
      <text>
        <r>
          <rPr>
            <b/>
            <sz val="11"/>
            <color indexed="81"/>
            <rFont val="Tahoma"/>
            <family val="2"/>
          </rPr>
          <t>જી.પી. ફંડ અને સી.પી.ફંડ એક સમજવું.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10" authorId="0" shapeId="0">
      <text>
        <r>
          <rPr>
            <b/>
            <sz val="12"/>
            <color indexed="81"/>
            <rFont val="Tahoma"/>
            <family val="2"/>
          </rPr>
          <t>પી.એલ.આઈ.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25" authorId="0" shapeId="0">
      <text>
        <r>
          <rPr>
            <sz val="9"/>
            <color indexed="81"/>
            <rFont val="Tahoma"/>
            <family val="2"/>
          </rPr>
          <t>નોધ:
મકાન લોનનું વ્યાજની રકમમાં વધુમાં વધુ ૨,૦૦,૦૦૦રૂ| બાદ મળશે.</t>
        </r>
      </text>
    </comment>
    <comment ref="O26" authorId="0" shapeId="0">
      <text>
        <r>
          <rPr>
            <b/>
            <sz val="9"/>
            <color indexed="81"/>
            <rFont val="Tahoma"/>
            <family val="2"/>
          </rPr>
          <t>નોધ:
મેડીક્લેમની રકમમાં વધુમાં વધુ ૨૫૦૦૦રૂ| બાદ મળશે.</t>
        </r>
      </text>
    </comment>
    <comment ref="O30" authorId="1" shapeId="0">
      <text>
        <r>
          <rPr>
            <b/>
            <sz val="9"/>
            <color indexed="81"/>
            <rFont val="Tahoma"/>
            <family val="2"/>
          </rPr>
          <t>ઉચ્ચ શિક્ષણની લોનના વ્યાજમાં સંપૂર્ણ બાદ મળશે.</t>
        </r>
        <r>
          <rPr>
            <b/>
            <sz val="9"/>
            <color indexed="81"/>
            <rFont val="Tahoma"/>
            <family val="2"/>
          </rPr>
          <t xml:space="preserve"> અને અપંગ એલાઉન્સ રૂ| ૭૫,૦૦૦ સુધી અને અપંગતા ૮૦% ઉપર હોય તો ૧,૨૫,૦૦૦ બાદ મળશે.</t>
        </r>
      </text>
    </comment>
  </commentList>
</comments>
</file>

<file path=xl/comments2.xml><?xml version="1.0" encoding="utf-8"?>
<comments xmlns="http://schemas.openxmlformats.org/spreadsheetml/2006/main">
  <authors>
    <author>intel</author>
  </authors>
  <commentList>
    <comment ref="H10" authorId="0" shapeId="0">
      <text>
        <r>
          <rPr>
            <b/>
            <sz val="9"/>
            <color indexed="81"/>
            <rFont val="Tahoma"/>
            <family val="2"/>
          </rPr>
          <t>એન.પી.એસ.ની રકમમાં વધુમાં વધુ ૫૦૦૦૦રૂ| બાદ મળશે.</t>
        </r>
      </text>
    </comment>
  </commentList>
</comments>
</file>

<file path=xl/sharedStrings.xml><?xml version="1.0" encoding="utf-8"?>
<sst xmlns="http://schemas.openxmlformats.org/spreadsheetml/2006/main" count="195" uniqueCount="163">
  <si>
    <t xml:space="preserve">કર્મચારીનું નામ </t>
  </si>
  <si>
    <t>સસ્થાનું નામ</t>
  </si>
  <si>
    <t>૧૧૮,સહજાનંદ કોમ્પલેક્ષ, મોડાસા રોડ, બાયડ-૩૮૩૩૨૫</t>
  </si>
  <si>
    <t xml:space="preserve">જૂથનું નામ </t>
  </si>
  <si>
    <t>જન્મ તારીખ</t>
  </si>
  <si>
    <t>પાન નંબર</t>
  </si>
  <si>
    <t xml:space="preserve">આધાર નંબર </t>
  </si>
  <si>
    <t xml:space="preserve">મોબાઈલ નંબર </t>
  </si>
  <si>
    <t>બેંકનું નામ</t>
  </si>
  <si>
    <t>શાખા</t>
  </si>
  <si>
    <t>ખાતા નંબર</t>
  </si>
  <si>
    <t>I.F.S.C.</t>
  </si>
  <si>
    <t>અ.નં.</t>
  </si>
  <si>
    <t>માસ</t>
  </si>
  <si>
    <t>મૂળ પગાર</t>
  </si>
  <si>
    <t>મોઘવારી</t>
  </si>
  <si>
    <t>ઘરભાડું</t>
  </si>
  <si>
    <t>મેડીકલ</t>
  </si>
  <si>
    <t>આચાર્ય એલાઉન્સ</t>
  </si>
  <si>
    <t>અન્ય</t>
  </si>
  <si>
    <t>આવકની વિગત</t>
  </si>
  <si>
    <t>કપાતની વિગત</t>
  </si>
  <si>
    <t>જૂથ વીમો</t>
  </si>
  <si>
    <t>એલ.આઈ.સી.</t>
  </si>
  <si>
    <t>પ્રો.ફે.ટેક્ષ</t>
  </si>
  <si>
    <t>જી.પી. ફંડ</t>
  </si>
  <si>
    <t>કુલ</t>
  </si>
  <si>
    <t>વ્યાજ આવક A</t>
  </si>
  <si>
    <t xml:space="preserve">કુલ રકમ </t>
  </si>
  <si>
    <t>(૧) સેવિંગ બેંક વ્યાજ આવક</t>
  </si>
  <si>
    <t>(૨) એફ.ડી.</t>
  </si>
  <si>
    <t>(૩) એન.એસ.સી.</t>
  </si>
  <si>
    <t>મોઘવારી તફાવત</t>
  </si>
  <si>
    <t>એલ.ટી.સી.</t>
  </si>
  <si>
    <t>પગાર વધારો</t>
  </si>
  <si>
    <t>એરીયર્સ</t>
  </si>
  <si>
    <t>કુલ ટોટલ પગાર</t>
  </si>
  <si>
    <t>અન્ય કપાત : B</t>
  </si>
  <si>
    <t>વ્યાજ આવક : A</t>
  </si>
  <si>
    <t>(૧) મકાન લોનનું વ્યાજ</t>
  </si>
  <si>
    <t>(૨) મેડીક્લેમ</t>
  </si>
  <si>
    <t>(૩) દાન</t>
  </si>
  <si>
    <t>(૪) આચાર્ય એલાઉન્સ</t>
  </si>
  <si>
    <t>(૪) અન્ય</t>
  </si>
  <si>
    <t>કુલ A</t>
  </si>
  <si>
    <t xml:space="preserve">૮૦ સી હેઠળની કપાત (૧,૫૦,૦૦૦ સુધી) </t>
  </si>
  <si>
    <t>(૧) એલ.આઈ.સી.(પગાર માંથી)</t>
  </si>
  <si>
    <t>(૩) જી.પી.એફ. / સી.પી.એફ.</t>
  </si>
  <si>
    <t>(૪) મકાન લોન ચૂકવેલ રકમ</t>
  </si>
  <si>
    <t>(૫) જૂથ વીમા</t>
  </si>
  <si>
    <t>(૭) પી.એલ.આઈ.(પગાર સિવાય)</t>
  </si>
  <si>
    <t>(૬) પી.એલ.આઈ.(પગાર માંથી)</t>
  </si>
  <si>
    <t>(૮) એન.એસ.સી.</t>
  </si>
  <si>
    <t>(૯) મ્યુચ્યુઅલ ફંડ</t>
  </si>
  <si>
    <t>(૧૦) શિક્ષણ ફી</t>
  </si>
  <si>
    <t>(૧૧) એન.એસ.સી. વ્યાજ</t>
  </si>
  <si>
    <t>(૧૨) અન્ય</t>
  </si>
  <si>
    <t>૧ થી ૧૨ની કુલ રકમ</t>
  </si>
  <si>
    <t>ટોટલ આવક</t>
  </si>
  <si>
    <t>ટોટલ ટેક્ષ પાત્ર આવક</t>
  </si>
  <si>
    <t>આવક વેરાનો દર</t>
  </si>
  <si>
    <t>રૂ| ૨,૫૦,૦૦૦ સુધીની રકમ હોય તો ટેક્ષ</t>
  </si>
  <si>
    <t>રૂ| ૨,૫૦,૦૦૧ થી રૂ| ૫,૦૦,૦૦૦ સુધી ૫%</t>
  </si>
  <si>
    <t>રૂ| ૫,૦૦,૦૦૧ થી રૂ| ૧૦,૦૦,૦૦૦ સુધી ૨૦%</t>
  </si>
  <si>
    <t>રૂ| ૧૦,૦૦,૦૦૧ થી કે તેથી વધુ રકમ ૩૦%</t>
  </si>
  <si>
    <t>પુરુષ / સ્ત્રી કરદાતા</t>
  </si>
  <si>
    <t>કર પાત્ર ટકા</t>
  </si>
  <si>
    <t>ભરવા પાત્ર થતી રકમ</t>
  </si>
  <si>
    <t>રૂ| શૂન્ય રકમ</t>
  </si>
  <si>
    <t>૫% મુજબ રકમ</t>
  </si>
  <si>
    <t>૨૦% મુજબ રકમ</t>
  </si>
  <si>
    <t>૩૦% મુજબ રકમ</t>
  </si>
  <si>
    <t>શૂન્ય રકમ</t>
  </si>
  <si>
    <t>લેસ : ટોટલ આવક ૫,૦૦,૦૦૦ થી ઓછી આવકવાળાને કર રાહત</t>
  </si>
  <si>
    <t>હેલ્થ + શિક્ષણ કર ૪%</t>
  </si>
  <si>
    <t>કુલ ટેક્ષની રકમ</t>
  </si>
  <si>
    <t>કુલ ટેક્ષ</t>
  </si>
  <si>
    <t>બાદ પગાર બિલમાંથી કપાત કરેલ ટેક્ષ</t>
  </si>
  <si>
    <t>સ્થળ :</t>
  </si>
  <si>
    <t>તારીખ :</t>
  </si>
  <si>
    <t>કર્મચારીની સહી</t>
  </si>
  <si>
    <t>આચાર્યની સહી</t>
  </si>
  <si>
    <t>ઉપર જણાવ્યા મુજબની મારી આવક અને માન્ય રોકણો છે.</t>
  </si>
  <si>
    <t>આવક વેરની સંપૂર્ણ જવાબદારી મારી અંગત છે.</t>
  </si>
  <si>
    <t>(નજીકના ૧૦રૂપિયા માં લેવા માટે) ભરવાનો થતો ટેક્ષ / મળવા પાત્ર રીફંડ</t>
  </si>
  <si>
    <t xml:space="preserve">ગ્રોસ આવક    </t>
  </si>
  <si>
    <t xml:space="preserve">બાદ : ૮૦સી હેઠળ કપાત(૧,૫૦,૦૦૦ સુધી)     </t>
  </si>
  <si>
    <t>બાદ : એન.પી.એસ.</t>
  </si>
  <si>
    <t>ફ્યુચરસ્ટાર કન્સલટન્સી</t>
  </si>
  <si>
    <t>સ્ટાન્ડર્ડ ડીડકશન</t>
  </si>
  <si>
    <t>EMAIL ID</t>
  </si>
  <si>
    <t>ઇન્કમ  ટેક્ષ</t>
  </si>
  <si>
    <t>ટોટલ ટેક્ષ પાત્ર આવક રૂપિયા ૫,૦૦,૦૦૦/- થી નીચે થતી હોય તેમને ભરવા પાત્ર ટેક્ષ ૦(શૂન્ય) રહેશે, તેમને આવક વેરાનો દર નું કોલમ ગણતરીમાં લેવું નહિ.</t>
  </si>
  <si>
    <t>(૧) પાનકાર્ડની ઝેરોક્ષ / આધાર કાર્ડની ઝેરોક્ષ ફરજીયાત મુકવી.</t>
  </si>
  <si>
    <t>રીમાર્કસ :</t>
  </si>
  <si>
    <t>મુખ્ય અધિકારીની સહી તથા સિક્કો</t>
  </si>
  <si>
    <r>
      <t>નીચેના પુરાવા આ ફોર્મની સાથે આપવા</t>
    </r>
    <r>
      <rPr>
        <b/>
        <sz val="10"/>
        <rFont val="Arial"/>
        <family val="2"/>
      </rPr>
      <t xml:space="preserve"> :</t>
    </r>
  </si>
  <si>
    <t>(૨) 80C અને અન્ય કપાત Bમાં બાદ લીધેલ રકમના પૃફની ઝેરોક્ષ.</t>
  </si>
  <si>
    <t>(૩) (10E ગણવા) જેટલા વર્ષથી પગાર વધારો આવ્યો હોય તે વર્ષ પ્રમાણેની વિગત અને તેટલા વર્ષની I.T.રીટર્નની ઝેરોક્ષ.</t>
  </si>
  <si>
    <t>(૨) એલ.આઈ.સી.(પગાર સિવાય)</t>
  </si>
  <si>
    <t>(૫) એલ.ટી.સી.</t>
  </si>
  <si>
    <t>JUNE</t>
  </si>
  <si>
    <t>JULY</t>
  </si>
  <si>
    <t>AUGUST</t>
  </si>
  <si>
    <t>SEPTEMBER</t>
  </si>
  <si>
    <t>MAY</t>
  </si>
  <si>
    <t>OCTOBER</t>
  </si>
  <si>
    <t>NOVEMBER</t>
  </si>
  <si>
    <t>DECEMBER</t>
  </si>
  <si>
    <t>MARCH</t>
  </si>
  <si>
    <t>APRIL</t>
  </si>
  <si>
    <t>JANUARY</t>
  </si>
  <si>
    <t>FEBRUARY</t>
  </si>
  <si>
    <t>(૬)  અન્ય /અપંગ એલાઉન્સ</t>
  </si>
  <si>
    <t>સી.પી.એફ</t>
  </si>
  <si>
    <t>શું સી.પી.એફ. કપાત છે?</t>
  </si>
  <si>
    <t>NO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</si>
  <si>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</si>
  <si>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</si>
  <si>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</si>
  <si>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</si>
  <si>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</si>
  <si>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</si>
  <si>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</si>
  <si>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</si>
  <si>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</si>
  <si>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</si>
  <si>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</si>
  <si>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YES</t>
  </si>
  <si>
    <t>પ્રો.ફે. ટેક્ષ</t>
  </si>
  <si>
    <t>CREATED BY : SHREEJI CORPORATION</t>
  </si>
  <si>
    <t>Tax Liability</t>
  </si>
  <si>
    <t>Add: Cess @ 4%</t>
  </si>
  <si>
    <t>Tax to Gross Income Ratio</t>
  </si>
  <si>
    <t>મો. ૭૪૩૫૮૧૦૮૮૦, ૯૪૨૬૩૮૮૮૮૦, ૯૬૬૪૮૯૯૭૯૩</t>
  </si>
  <si>
    <t>પગાર અને ભથ્થાઓની કુલ આવક</t>
  </si>
  <si>
    <t>તમામ કપાત બાદ ચોખ્ખી કરપાત્ર આવક</t>
  </si>
  <si>
    <t>સરચાર્જ @ 10% / 15% (જો આવક 50 લાખથી વધુની હોય અને અનુક્રમે 1 કરોડ)</t>
  </si>
  <si>
    <t>ચૂકવેલ એડવાન્સ ટેક્સ</t>
  </si>
  <si>
    <t>ચૂકવવાનો બાકી ટેક્સ</t>
  </si>
  <si>
    <t>ચુકવવા પાત્ર કુલ ટેક્સ</t>
  </si>
  <si>
    <t>Income Tax ગણતરી પત્રક F.Y. ૨૦૨૩-૨૪,  A.Y. ૨૦૨૪-૨૫</t>
  </si>
  <si>
    <t>એપ્રિલ-૨૩</t>
  </si>
  <si>
    <t>મેં-૨૩</t>
  </si>
  <si>
    <t>જુન-૨૩</t>
  </si>
  <si>
    <t>જુલાઈ-૨૩</t>
  </si>
  <si>
    <t>ઓગસ્ટ-૨૩</t>
  </si>
  <si>
    <t>સપ્ટે-૨૩</t>
  </si>
  <si>
    <t>ઓકટો-૨૩</t>
  </si>
  <si>
    <t>નવે-૨૩</t>
  </si>
  <si>
    <t>ડીસે-૨૩</t>
  </si>
  <si>
    <t>જાન્યુ-૨૪</t>
  </si>
  <si>
    <t>ફેબ્રુ-૨૪</t>
  </si>
  <si>
    <t>માર્ચ-૨૪</t>
  </si>
  <si>
    <t>0 TO 300000</t>
  </si>
  <si>
    <t>Less: Standard Deduction</t>
  </si>
  <si>
    <t>F.Y .2023-24 અને A.Y .2024-25 નવા આવકવેરાનું કેલ્ક્યુલેટર</t>
  </si>
  <si>
    <t>300000 TO 600000  (5%)</t>
  </si>
  <si>
    <t>600000 TO 900000 (10%)</t>
  </si>
  <si>
    <t>900000 TO 1200000 (15%)</t>
  </si>
  <si>
    <t>1200000 TO 1500000 (20%)</t>
  </si>
  <si>
    <t>1500000 TO Above  (30%)</t>
  </si>
  <si>
    <t>ટેક્સ છૂટ  રૂ. 25,000 (7 લાખથી ઓછી આવક માટે)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</si>
</sst>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 * #,##0.00_ ;_ * \-#,##0.00_ ;_ * &quot;-&quot;??_ ;_ @_ "/>
    <numFmt numFmtId="164" formatCode="[$-7000447]0"/>
    <numFmt numFmtId="165" formatCode="[$₹-447]\ #,##0.00;[Red][$₹-447]\ #,##0.00"/>
    <numFmt numFmtId="166" formatCode="#,##0;[Red]#,##0"/>
    <numFmt numFmtId="167" formatCode="#,##0.00;[Red]#,##0.00"/>
    <numFmt numFmtId="168" formatCode="[$-14009]dd\-mm\-yyyy;@"/>
    <numFmt numFmtId="169" formatCode="0;[Red]0"/>
    <numFmt numFmtId="170" formatCode="[$₹-447]\ #,##0.00;[$₹-447]\ \-#,##0.00"/>
    <numFmt numFmtId="171" formatCode="[$₹-447]\ #,##0;[Red][$₹-447]\ #,##0"/>
    <numFmt numFmtId="172" formatCode="[$₹-447]\ #,##0"/>
  </numFmts>
  <fonts count="71">
    <font>
      <sz val="10"/>
      <name val="Arial"/>
    </font>
    <font>
      <sz val="14"/>
      <name val="LMG-Arun"/>
    </font>
    <font>
      <sz val="8"/>
      <name val="Arial"/>
      <family val="2"/>
    </font>
    <font>
      <sz val="11"/>
      <name val="Arial"/>
      <family val="2"/>
    </font>
    <font>
      <b/>
      <sz val="11"/>
      <name val="LMG-Arun"/>
    </font>
    <font>
      <sz val="18"/>
      <name val="LMG-Arun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Bell MT"/>
      <family val="1"/>
    </font>
    <font>
      <b/>
      <sz val="11"/>
      <name val="Arial Rounded MT Bold"/>
      <family val="2"/>
    </font>
    <font>
      <b/>
      <sz val="11"/>
      <name val="Bell MT"/>
      <family val="1"/>
    </font>
    <font>
      <b/>
      <u/>
      <sz val="10"/>
      <name val="Arial"/>
      <family val="2"/>
    </font>
    <font>
      <sz val="10"/>
      <name val="Arial"/>
      <family val="2"/>
    </font>
    <font>
      <sz val="9.5"/>
      <name val="Arial"/>
      <family val="2"/>
    </font>
    <font>
      <b/>
      <sz val="13"/>
      <name val="Arial"/>
      <family val="2"/>
    </font>
    <font>
      <b/>
      <sz val="13"/>
      <name val="LMG-Arun"/>
    </font>
    <font>
      <b/>
      <sz val="10.5"/>
      <name val="Arial"/>
      <family val="2"/>
    </font>
    <font>
      <b/>
      <sz val="9"/>
      <color indexed="81"/>
      <name val="Tahoma"/>
      <family val="2"/>
    </font>
    <font>
      <sz val="18"/>
      <name val="Arial"/>
      <family val="2"/>
    </font>
    <font>
      <sz val="14"/>
      <name val="Arial"/>
      <family val="2"/>
    </font>
    <font>
      <sz val="9"/>
      <color indexed="81"/>
      <name val="Tahoma"/>
      <family val="2"/>
    </font>
    <font>
      <b/>
      <sz val="10.199999999999999"/>
      <name val="Arial"/>
      <family val="2"/>
    </font>
    <font>
      <b/>
      <sz val="26"/>
      <name val="Arial"/>
      <family val="2"/>
    </font>
    <font>
      <b/>
      <sz val="11"/>
      <color indexed="81"/>
      <name val="Tahoma"/>
      <family val="2"/>
    </font>
    <font>
      <sz val="9.4"/>
      <name val="Arial"/>
      <family val="2"/>
    </font>
    <font>
      <sz val="10.5"/>
      <name val="Arial"/>
      <family val="2"/>
    </font>
    <font>
      <sz val="10"/>
      <name val="Arial Rounded MT Bold"/>
      <family val="2"/>
    </font>
    <font>
      <b/>
      <sz val="8"/>
      <name val="Arial"/>
      <family val="2"/>
    </font>
    <font>
      <sz val="12"/>
      <name val="Arial"/>
      <family val="2"/>
    </font>
    <font>
      <b/>
      <sz val="12"/>
      <color indexed="81"/>
      <name val="Tahoma"/>
      <family val="2"/>
    </font>
    <font>
      <sz val="8"/>
      <color indexed="10"/>
      <name val="Arial"/>
      <family val="2"/>
    </font>
    <font>
      <b/>
      <sz val="11"/>
      <name val="Lucida Sans"/>
      <family val="2"/>
    </font>
    <font>
      <b/>
      <sz val="12"/>
      <name val="Lucida Sans"/>
      <family val="2"/>
    </font>
    <font>
      <b/>
      <sz val="14"/>
      <name val="Lucida Sans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theme="1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1"/>
      <color rgb="FF000000"/>
      <name val="Arial"/>
      <family val="2"/>
    </font>
    <font>
      <sz val="10"/>
      <color rgb="FF333333"/>
      <name val="Arial"/>
      <family val="2"/>
    </font>
    <font>
      <b/>
      <sz val="8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sz val="18"/>
      <color theme="0"/>
      <name val="LMG-Arun"/>
    </font>
    <font>
      <sz val="12"/>
      <color theme="0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8"/>
      <color theme="1"/>
      <name val="Arial"/>
      <family val="2"/>
    </font>
    <font>
      <sz val="18"/>
      <color theme="1"/>
      <name val="LMG-Arun"/>
    </font>
    <font>
      <b/>
      <sz val="10"/>
      <color theme="0"/>
      <name val="Arial"/>
      <family val="2"/>
    </font>
    <font>
      <sz val="18"/>
      <color rgb="FFFF0000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  <font>
      <b/>
      <sz val="11"/>
      <color rgb="FF000000"/>
      <name val="Lucida Sans"/>
      <family val="2"/>
    </font>
    <font>
      <sz val="11"/>
      <color rgb="FF000000"/>
      <name val="Lucida Sans"/>
      <family val="2"/>
    </font>
    <font>
      <sz val="10"/>
      <color theme="0" tint="-0.34998626667073579"/>
      <name val="Arial"/>
      <family val="2"/>
    </font>
    <font>
      <u/>
      <sz val="11"/>
      <color theme="10"/>
      <name val="Arial"/>
      <family val="2"/>
    </font>
    <font>
      <b/>
      <sz val="14"/>
      <color theme="0"/>
      <name val="Lucida Sans"/>
      <family val="2"/>
    </font>
    <font>
      <b/>
      <sz val="14"/>
      <color rgb="FF0070C0"/>
      <name val="Imprint MT Shadow"/>
      <family val="5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2">
    <xf numFmtId="0" fontId="0" fillId="0" borderId="0"/>
    <xf numFmtId="0" fontId="36" fillId="0" borderId="0"/>
    <xf numFmtId="0" fontId="37" fillId="2" borderId="0"/>
    <xf numFmtId="0" fontId="37" fillId="3" borderId="0"/>
    <xf numFmtId="0" fontId="36" fillId="4" borderId="0"/>
    <xf numFmtId="0" fontId="38" fillId="5" borderId="0"/>
    <xf numFmtId="43" fontId="35" fillId="0" borderId="0" applyFont="0" applyFill="0" applyBorder="0" applyAlignment="0" applyProtection="0"/>
    <xf numFmtId="0" fontId="39" fillId="6" borderId="0"/>
    <xf numFmtId="0" fontId="40" fillId="0" borderId="0"/>
    <xf numFmtId="0" fontId="41" fillId="7" borderId="0"/>
    <xf numFmtId="0" fontId="42" fillId="0" borderId="0"/>
    <xf numFmtId="0" fontId="43" fillId="0" borderId="0"/>
    <xf numFmtId="0" fontId="44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/>
    <xf numFmtId="0" fontId="47" fillId="8" borderId="0"/>
    <xf numFmtId="0" fontId="48" fillId="0" borderId="0"/>
    <xf numFmtId="0" fontId="49" fillId="8" borderId="59"/>
    <xf numFmtId="9" fontId="35" fillId="0" borderId="0" applyFont="0" applyFill="0" applyBorder="0" applyAlignment="0" applyProtection="0"/>
    <xf numFmtId="0" fontId="48" fillId="0" borderId="0"/>
    <xf numFmtId="0" fontId="48" fillId="0" borderId="0"/>
    <xf numFmtId="0" fontId="38" fillId="0" borderId="0"/>
  </cellStyleXfs>
  <cellXfs count="377">
    <xf numFmtId="0" fontId="0" fillId="0" borderId="0" xfId="0"/>
    <xf numFmtId="166" fontId="13" fillId="0" borderId="1" xfId="0" applyNumberFormat="1" applyFont="1" applyBorder="1" applyAlignment="1" applyProtection="1">
      <alignment horizontal="center" vertical="center" wrapText="1"/>
      <protection locked="0"/>
    </xf>
    <xf numFmtId="166" fontId="13" fillId="0" borderId="2" xfId="0" applyNumberFormat="1" applyFont="1" applyBorder="1" applyAlignment="1" applyProtection="1">
      <alignment horizontal="center" vertical="center" wrapText="1"/>
      <protection locked="0"/>
    </xf>
    <xf numFmtId="166" fontId="3" fillId="0" borderId="3" xfId="0" applyNumberFormat="1" applyFont="1" applyBorder="1" applyAlignment="1" applyProtection="1">
      <alignment horizontal="center" vertical="center"/>
      <protection locked="0"/>
    </xf>
    <xf numFmtId="166" fontId="13" fillId="0" borderId="2" xfId="0" applyNumberFormat="1" applyFont="1" applyBorder="1" applyAlignment="1" applyProtection="1">
      <alignment horizontal="center" vertical="center"/>
      <protection locked="0"/>
    </xf>
    <xf numFmtId="166" fontId="13" fillId="0" borderId="3" xfId="0" applyNumberFormat="1" applyFont="1" applyBorder="1" applyAlignment="1" applyProtection="1">
      <alignment horizontal="center" vertical="center"/>
      <protection locked="0"/>
    </xf>
    <xf numFmtId="166" fontId="13" fillId="9" borderId="2" xfId="0" applyNumberFormat="1" applyFont="1" applyFill="1" applyBorder="1" applyAlignment="1" applyProtection="1">
      <alignment horizontal="center" vertical="center" wrapText="1"/>
      <protection locked="0"/>
    </xf>
    <xf numFmtId="166" fontId="13" fillId="9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/>
    <xf numFmtId="0" fontId="19" fillId="0" borderId="0" xfId="0" applyFont="1"/>
    <xf numFmtId="165" fontId="50" fillId="9" borderId="0" xfId="0" applyNumberFormat="1" applyFont="1" applyFill="1" applyAlignment="1">
      <alignment horizontal="center" vertical="center"/>
    </xf>
    <xf numFmtId="165" fontId="8" fillId="9" borderId="4" xfId="0" applyNumberFormat="1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horizontal="center" vertical="center" wrapText="1"/>
    </xf>
    <xf numFmtId="165" fontId="13" fillId="9" borderId="0" xfId="0" applyNumberFormat="1" applyFont="1" applyFill="1" applyAlignment="1">
      <alignment horizontal="center" vertical="center"/>
    </xf>
    <xf numFmtId="165" fontId="13" fillId="9" borderId="4" xfId="0" applyNumberFormat="1" applyFont="1" applyFill="1" applyBorder="1" applyAlignment="1">
      <alignment horizontal="center" vertical="center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7" xfId="0" applyFont="1" applyFill="1" applyBorder="1" applyAlignment="1">
      <alignment horizontal="center" vertical="center" wrapText="1"/>
    </xf>
    <xf numFmtId="165" fontId="13" fillId="10" borderId="7" xfId="0" applyNumberFormat="1" applyFont="1" applyFill="1" applyBorder="1" applyAlignment="1">
      <alignment horizontal="center" vertical="center"/>
    </xf>
    <xf numFmtId="165" fontId="13" fillId="10" borderId="8" xfId="0" applyNumberFormat="1" applyFont="1" applyFill="1" applyBorder="1" applyAlignment="1">
      <alignment horizontal="center" vertical="center"/>
    </xf>
    <xf numFmtId="0" fontId="8" fillId="9" borderId="6" xfId="0" applyFont="1" applyFill="1" applyBorder="1" applyAlignment="1">
      <alignment vertical="center" wrapText="1"/>
    </xf>
    <xf numFmtId="0" fontId="8" fillId="9" borderId="7" xfId="0" applyFont="1" applyFill="1" applyBorder="1" applyAlignment="1">
      <alignment vertical="center" wrapText="1"/>
    </xf>
    <xf numFmtId="165" fontId="8" fillId="9" borderId="7" xfId="0" applyNumberFormat="1" applyFont="1" applyFill="1" applyBorder="1" applyAlignment="1">
      <alignment horizontal="center" vertical="center"/>
    </xf>
    <xf numFmtId="165" fontId="8" fillId="9" borderId="8" xfId="0" applyNumberFormat="1" applyFont="1" applyFill="1" applyBorder="1" applyAlignment="1">
      <alignment horizontal="center" vertical="center"/>
    </xf>
    <xf numFmtId="0" fontId="8" fillId="9" borderId="0" xfId="0" applyFont="1" applyFill="1" applyAlignment="1">
      <alignment vertical="center" wrapText="1"/>
    </xf>
    <xf numFmtId="0" fontId="51" fillId="9" borderId="0" xfId="0" applyFont="1" applyFill="1" applyAlignment="1">
      <alignment vertical="center" wrapText="1"/>
    </xf>
    <xf numFmtId="0" fontId="8" fillId="9" borderId="5" xfId="0" applyFont="1" applyFill="1" applyBorder="1" applyAlignment="1">
      <alignment horizontal="right" vertical="center" wrapText="1"/>
    </xf>
    <xf numFmtId="0" fontId="8" fillId="9" borderId="0" xfId="0" applyFont="1" applyFill="1" applyAlignment="1">
      <alignment horizontal="right" vertical="center" wrapText="1"/>
    </xf>
    <xf numFmtId="0" fontId="8" fillId="9" borderId="9" xfId="0" applyFont="1" applyFill="1" applyBorder="1" applyAlignment="1">
      <alignment vertical="top" wrapText="1"/>
    </xf>
    <xf numFmtId="165" fontId="51" fillId="9" borderId="0" xfId="0" applyNumberFormat="1" applyFont="1" applyFill="1" applyAlignment="1">
      <alignment horizontal="center" vertical="center"/>
    </xf>
    <xf numFmtId="165" fontId="51" fillId="9" borderId="4" xfId="0" applyNumberFormat="1" applyFont="1" applyFill="1" applyBorder="1" applyAlignment="1">
      <alignment horizontal="center" vertical="center"/>
    </xf>
    <xf numFmtId="165" fontId="8" fillId="9" borderId="0" xfId="0" applyNumberFormat="1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 wrapText="1"/>
    </xf>
    <xf numFmtId="0" fontId="8" fillId="9" borderId="0" xfId="0" applyFont="1" applyFill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165" fontId="51" fillId="9" borderId="0" xfId="0" applyNumberFormat="1" applyFont="1" applyFill="1" applyAlignment="1">
      <alignment vertical="center"/>
    </xf>
    <xf numFmtId="165" fontId="51" fillId="9" borderId="4" xfId="0" applyNumberFormat="1" applyFont="1" applyFill="1" applyBorder="1" applyAlignment="1">
      <alignment vertical="center"/>
    </xf>
    <xf numFmtId="0" fontId="52" fillId="9" borderId="0" xfId="0" applyFont="1" applyFill="1" applyAlignment="1" applyProtection="1">
      <alignment horizontal="center"/>
      <protection hidden="1"/>
    </xf>
    <xf numFmtId="0" fontId="53" fillId="9" borderId="0" xfId="0" applyFont="1" applyFill="1" applyAlignment="1" applyProtection="1">
      <alignment horizontal="center"/>
      <protection hidden="1"/>
    </xf>
    <xf numFmtId="0" fontId="31" fillId="9" borderId="0" xfId="0" applyFont="1" applyFill="1" applyAlignment="1" applyProtection="1">
      <alignment horizontal="center"/>
      <protection hidden="1"/>
    </xf>
    <xf numFmtId="0" fontId="13" fillId="9" borderId="0" xfId="0" applyFont="1" applyFill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0" fontId="54" fillId="0" borderId="0" xfId="0" applyFont="1" applyProtection="1">
      <protection hidden="1"/>
    </xf>
    <xf numFmtId="0" fontId="53" fillId="0" borderId="0" xfId="0" applyFont="1" applyAlignment="1" applyProtection="1">
      <alignment horizontal="center"/>
      <protection hidden="1"/>
    </xf>
    <xf numFmtId="0" fontId="55" fillId="0" borderId="0" xfId="0" applyFont="1" applyProtection="1">
      <protection hidden="1"/>
    </xf>
    <xf numFmtId="0" fontId="55" fillId="11" borderId="0" xfId="0" applyFont="1" applyFill="1" applyProtection="1">
      <protection hidden="1"/>
    </xf>
    <xf numFmtId="0" fontId="56" fillId="0" borderId="0" xfId="0" applyFont="1" applyProtection="1">
      <protection hidden="1"/>
    </xf>
    <xf numFmtId="0" fontId="57" fillId="0" borderId="0" xfId="0" applyFont="1" applyProtection="1">
      <protection hidden="1"/>
    </xf>
    <xf numFmtId="0" fontId="58" fillId="0" borderId="0" xfId="0" applyFont="1" applyProtection="1">
      <protection hidden="1"/>
    </xf>
    <xf numFmtId="0" fontId="59" fillId="0" borderId="0" xfId="0" applyFont="1" applyProtection="1">
      <protection hidden="1"/>
    </xf>
    <xf numFmtId="0" fontId="60" fillId="0" borderId="0" xfId="0" applyFont="1" applyProtection="1">
      <protection hidden="1"/>
    </xf>
    <xf numFmtId="171" fontId="61" fillId="9" borderId="7" xfId="0" applyNumberFormat="1" applyFont="1" applyFill="1" applyBorder="1" applyAlignment="1" applyProtection="1">
      <alignment vertical="center" wrapText="1"/>
      <protection hidden="1"/>
    </xf>
    <xf numFmtId="0" fontId="61" fillId="9" borderId="0" xfId="0" applyFont="1" applyFill="1" applyAlignment="1" applyProtection="1">
      <alignment vertical="center" wrapText="1"/>
      <protection hidden="1"/>
    </xf>
    <xf numFmtId="171" fontId="61" fillId="9" borderId="5" xfId="0" applyNumberFormat="1" applyFont="1" applyFill="1" applyBorder="1" applyAlignment="1" applyProtection="1">
      <alignment vertical="center" wrapText="1"/>
      <protection hidden="1"/>
    </xf>
    <xf numFmtId="171" fontId="61" fillId="9" borderId="0" xfId="0" applyNumberFormat="1" applyFont="1" applyFill="1" applyAlignment="1" applyProtection="1">
      <alignment vertical="center" wrapText="1"/>
      <protection hidden="1"/>
    </xf>
    <xf numFmtId="0" fontId="8" fillId="9" borderId="0" xfId="0" applyFont="1" applyFill="1" applyAlignment="1" applyProtection="1">
      <alignment horizontal="center" vertical="center" wrapText="1"/>
      <protection hidden="1"/>
    </xf>
    <xf numFmtId="0" fontId="61" fillId="9" borderId="4" xfId="0" applyFont="1" applyFill="1" applyBorder="1" applyAlignment="1" applyProtection="1">
      <alignment vertical="center" wrapText="1"/>
      <protection hidden="1"/>
    </xf>
    <xf numFmtId="0" fontId="8" fillId="9" borderId="0" xfId="0" applyFont="1" applyFill="1" applyAlignment="1" applyProtection="1">
      <alignment vertical="center"/>
      <protection hidden="1"/>
    </xf>
    <xf numFmtId="0" fontId="8" fillId="9" borderId="5" xfId="0" applyFont="1" applyFill="1" applyBorder="1" applyAlignment="1" applyProtection="1">
      <alignment vertical="center" wrapText="1"/>
      <protection hidden="1"/>
    </xf>
    <xf numFmtId="0" fontId="8" fillId="9" borderId="0" xfId="0" applyFont="1" applyFill="1" applyAlignment="1" applyProtection="1">
      <alignment vertical="center" wrapText="1"/>
      <protection hidden="1"/>
    </xf>
    <xf numFmtId="171" fontId="8" fillId="9" borderId="10" xfId="0" applyNumberFormat="1" applyFont="1" applyFill="1" applyBorder="1" applyAlignment="1" applyProtection="1">
      <alignment vertical="center" wrapText="1"/>
      <protection hidden="1"/>
    </xf>
    <xf numFmtId="171" fontId="8" fillId="9" borderId="9" xfId="0" applyNumberFormat="1" applyFont="1" applyFill="1" applyBorder="1" applyAlignment="1" applyProtection="1">
      <alignment vertical="center" wrapText="1"/>
      <protection hidden="1"/>
    </xf>
    <xf numFmtId="0" fontId="6" fillId="9" borderId="9" xfId="0" applyFont="1" applyFill="1" applyBorder="1" applyAlignment="1" applyProtection="1">
      <alignment vertical="center"/>
      <protection hidden="1"/>
    </xf>
    <xf numFmtId="0" fontId="13" fillId="9" borderId="11" xfId="0" applyFont="1" applyFill="1" applyBorder="1" applyAlignment="1" applyProtection="1">
      <alignment horizontal="center" vertical="center"/>
      <protection locked="0" hidden="1"/>
    </xf>
    <xf numFmtId="0" fontId="13" fillId="9" borderId="12" xfId="0" applyFont="1" applyFill="1" applyBorder="1" applyAlignment="1" applyProtection="1">
      <alignment horizontal="center" vertical="center"/>
      <protection locked="0" hidden="1"/>
    </xf>
    <xf numFmtId="1" fontId="13" fillId="9" borderId="12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12" xfId="0" applyFont="1" applyBorder="1" applyAlignment="1" applyProtection="1">
      <alignment horizontal="center" vertical="center" wrapText="1"/>
      <protection locked="0" hidden="1"/>
    </xf>
    <xf numFmtId="0" fontId="13" fillId="0" borderId="12" xfId="0" applyFont="1" applyBorder="1" applyAlignment="1" applyProtection="1">
      <alignment horizontal="center"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26" fillId="9" borderId="2" xfId="0" applyFont="1" applyFill="1" applyBorder="1" applyAlignment="1" applyProtection="1">
      <alignment horizontal="center" vertical="center"/>
      <protection locked="0" hidden="1"/>
    </xf>
    <xf numFmtId="0" fontId="6" fillId="9" borderId="0" xfId="0" applyFont="1" applyFill="1" applyAlignment="1" applyProtection="1">
      <alignment vertical="center" wrapText="1"/>
      <protection hidden="1"/>
    </xf>
    <xf numFmtId="0" fontId="13" fillId="0" borderId="14" xfId="0" applyFont="1" applyBorder="1" applyAlignment="1" applyProtection="1">
      <alignment horizontal="center" vertical="center"/>
      <protection locked="0" hidden="1"/>
    </xf>
    <xf numFmtId="0" fontId="62" fillId="0" borderId="0" xfId="0" applyFont="1"/>
    <xf numFmtId="0" fontId="63" fillId="0" borderId="0" xfId="0" applyFont="1"/>
    <xf numFmtId="0" fontId="64" fillId="0" borderId="0" xfId="0" applyFont="1"/>
    <xf numFmtId="167" fontId="62" fillId="0" borderId="0" xfId="0" applyNumberFormat="1" applyFont="1"/>
    <xf numFmtId="1" fontId="13" fillId="0" borderId="11" xfId="0" applyNumberFormat="1" applyFont="1" applyBorder="1" applyAlignment="1" applyProtection="1">
      <alignment horizontal="center" vertical="center"/>
      <protection locked="0" hidden="1"/>
    </xf>
    <xf numFmtId="0" fontId="13" fillId="0" borderId="11" xfId="0" applyFont="1" applyBorder="1" applyAlignment="1" applyProtection="1">
      <alignment horizontal="center" vertical="center"/>
      <protection locked="0" hidden="1"/>
    </xf>
    <xf numFmtId="1" fontId="13" fillId="0" borderId="15" xfId="0" applyNumberFormat="1" applyFont="1" applyBorder="1" applyAlignment="1" applyProtection="1">
      <alignment horizontal="center" vertical="center"/>
      <protection locked="0" hidden="1"/>
    </xf>
    <xf numFmtId="0" fontId="20" fillId="0" borderId="0" xfId="0" applyFont="1" applyProtection="1">
      <protection hidden="1"/>
    </xf>
    <xf numFmtId="166" fontId="13" fillId="9" borderId="2" xfId="0" applyNumberFormat="1" applyFont="1" applyFill="1" applyBorder="1" applyAlignment="1" applyProtection="1">
      <alignment horizontal="center" vertical="center"/>
      <protection locked="0" hidden="1"/>
    </xf>
    <xf numFmtId="0" fontId="13" fillId="9" borderId="15" xfId="0" applyFont="1" applyFill="1" applyBorder="1" applyAlignment="1" applyProtection="1">
      <alignment horizontal="center" vertical="center"/>
      <protection locked="0" hidden="1"/>
    </xf>
    <xf numFmtId="0" fontId="13" fillId="9" borderId="12" xfId="0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166" fontId="61" fillId="9" borderId="0" xfId="0" applyNumberFormat="1" applyFont="1" applyFill="1" applyAlignment="1" applyProtection="1">
      <alignment vertical="center" wrapText="1"/>
      <protection hidden="1"/>
    </xf>
    <xf numFmtId="0" fontId="13" fillId="10" borderId="16" xfId="0" applyFont="1" applyFill="1" applyBorder="1" applyAlignment="1" applyProtection="1">
      <alignment horizontal="center" vertical="center"/>
      <protection hidden="1"/>
    </xf>
    <xf numFmtId="164" fontId="8" fillId="10" borderId="13" xfId="0" applyNumberFormat="1" applyFont="1" applyFill="1" applyBorder="1" applyAlignment="1" applyProtection="1">
      <alignment horizontal="center" vertical="center"/>
      <protection hidden="1"/>
    </xf>
    <xf numFmtId="17" fontId="8" fillId="10" borderId="12" xfId="0" applyNumberFormat="1" applyFont="1" applyFill="1" applyBorder="1" applyAlignment="1" applyProtection="1">
      <alignment horizontal="center" vertical="center"/>
      <protection hidden="1"/>
    </xf>
    <xf numFmtId="164" fontId="8" fillId="10" borderId="17" xfId="0" applyNumberFormat="1" applyFont="1" applyFill="1" applyBorder="1" applyAlignment="1" applyProtection="1">
      <alignment horizontal="center" vertical="center"/>
      <protection hidden="1"/>
    </xf>
    <xf numFmtId="17" fontId="8" fillId="10" borderId="11" xfId="0" applyNumberFormat="1" applyFont="1" applyFill="1" applyBorder="1" applyAlignment="1" applyProtection="1">
      <alignment horizontal="center" vertical="center"/>
      <protection hidden="1"/>
    </xf>
    <xf numFmtId="17" fontId="8" fillId="10" borderId="15" xfId="0" applyNumberFormat="1" applyFont="1" applyFill="1" applyBorder="1" applyAlignment="1" applyProtection="1">
      <alignment horizontal="center" vertical="center"/>
      <protection hidden="1"/>
    </xf>
    <xf numFmtId="164" fontId="8" fillId="10" borderId="18" xfId="0" applyNumberFormat="1" applyFont="1" applyFill="1" applyBorder="1" applyAlignment="1" applyProtection="1">
      <alignment horizontal="center" vertical="center"/>
      <protection hidden="1"/>
    </xf>
    <xf numFmtId="1" fontId="8" fillId="10" borderId="19" xfId="0" applyNumberFormat="1" applyFont="1" applyFill="1" applyBorder="1" applyAlignment="1" applyProtection="1">
      <alignment horizontal="center" vertical="center"/>
      <protection hidden="1"/>
    </xf>
    <xf numFmtId="0" fontId="8" fillId="10" borderId="20" xfId="0" applyFont="1" applyFill="1" applyBorder="1" applyAlignment="1" applyProtection="1">
      <alignment horizontal="center" vertical="center"/>
      <protection hidden="1"/>
    </xf>
    <xf numFmtId="0" fontId="8" fillId="12" borderId="19" xfId="0" applyFont="1" applyFill="1" applyBorder="1" applyAlignment="1" applyProtection="1">
      <alignment horizontal="center" vertical="center" wrapText="1"/>
      <protection hidden="1"/>
    </xf>
    <xf numFmtId="0" fontId="8" fillId="12" borderId="20" xfId="0" applyFont="1" applyFill="1" applyBorder="1" applyAlignment="1" applyProtection="1">
      <alignment horizontal="center" vertical="center" wrapText="1"/>
      <protection hidden="1"/>
    </xf>
    <xf numFmtId="166" fontId="8" fillId="10" borderId="21" xfId="0" applyNumberFormat="1" applyFont="1" applyFill="1" applyBorder="1" applyAlignment="1" applyProtection="1">
      <alignment horizontal="center" vertical="center"/>
      <protection hidden="1"/>
    </xf>
    <xf numFmtId="1" fontId="3" fillId="10" borderId="2" xfId="0" applyNumberFormat="1" applyFont="1" applyFill="1" applyBorder="1" applyAlignment="1" applyProtection="1">
      <alignment horizontal="center" vertical="center"/>
      <protection hidden="1"/>
    </xf>
    <xf numFmtId="0" fontId="26" fillId="10" borderId="2" xfId="0" applyFont="1" applyFill="1" applyBorder="1" applyAlignment="1" applyProtection="1">
      <alignment horizontal="center" vertical="center"/>
      <protection hidden="1"/>
    </xf>
    <xf numFmtId="1" fontId="8" fillId="10" borderId="3" xfId="0" applyNumberFormat="1" applyFont="1" applyFill="1" applyBorder="1" applyAlignment="1" applyProtection="1">
      <alignment horizontal="center" vertical="center"/>
      <protection hidden="1"/>
    </xf>
    <xf numFmtId="0" fontId="6" fillId="10" borderId="15" xfId="0" applyFont="1" applyFill="1" applyBorder="1" applyAlignment="1" applyProtection="1">
      <alignment horizontal="center" vertical="center"/>
      <protection hidden="1"/>
    </xf>
    <xf numFmtId="0" fontId="13" fillId="10" borderId="22" xfId="0" applyFont="1" applyFill="1" applyBorder="1" applyAlignment="1">
      <alignment vertical="center" wrapText="1"/>
    </xf>
    <xf numFmtId="0" fontId="13" fillId="10" borderId="23" xfId="0" applyFont="1" applyFill="1" applyBorder="1" applyAlignment="1">
      <alignment vertical="center" wrapText="1"/>
    </xf>
    <xf numFmtId="0" fontId="13" fillId="10" borderId="24" xfId="0" applyFont="1" applyFill="1" applyBorder="1" applyAlignment="1">
      <alignment vertical="center" wrapText="1"/>
    </xf>
    <xf numFmtId="43" fontId="66" fillId="10" borderId="11" xfId="6" applyFont="1" applyFill="1" applyBorder="1" applyAlignment="1" applyProtection="1">
      <alignment horizontal="center" vertical="center"/>
      <protection hidden="1"/>
    </xf>
    <xf numFmtId="10" fontId="34" fillId="10" borderId="11" xfId="18" applyNumberFormat="1" applyFont="1" applyFill="1" applyBorder="1" applyAlignment="1" applyProtection="1">
      <alignment horizontal="center" vertical="center"/>
      <protection hidden="1"/>
    </xf>
    <xf numFmtId="43" fontId="33" fillId="10" borderId="11" xfId="16" applyNumberFormat="1" applyFont="1" applyFill="1" applyBorder="1" applyAlignment="1" applyProtection="1">
      <alignment horizontal="center" vertical="center"/>
      <protection hidden="1"/>
    </xf>
    <xf numFmtId="43" fontId="66" fillId="10" borderId="11" xfId="16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166" fontId="13" fillId="10" borderId="12" xfId="0" applyNumberFormat="1" applyFont="1" applyFill="1" applyBorder="1" applyAlignment="1" applyProtection="1">
      <alignment horizontal="center" vertical="center"/>
      <protection locked="0" hidden="1"/>
    </xf>
    <xf numFmtId="166" fontId="13" fillId="9" borderId="12" xfId="0" applyNumberFormat="1" applyFont="1" applyFill="1" applyBorder="1" applyAlignment="1" applyProtection="1">
      <alignment horizontal="center" vertical="center"/>
      <protection locked="0" hidden="1"/>
    </xf>
    <xf numFmtId="166" fontId="13" fillId="10" borderId="2" xfId="0" applyNumberFormat="1" applyFont="1" applyFill="1" applyBorder="1" applyAlignment="1" applyProtection="1">
      <alignment horizontal="center" vertical="center"/>
      <protection locked="0" hidden="1"/>
    </xf>
    <xf numFmtId="166" fontId="13" fillId="10" borderId="1" xfId="0" applyNumberFormat="1" applyFont="1" applyFill="1" applyBorder="1" applyAlignment="1" applyProtection="1">
      <alignment horizontal="center" vertical="center" wrapText="1"/>
      <protection locked="0" hidden="1"/>
    </xf>
    <xf numFmtId="166" fontId="13" fillId="10" borderId="1" xfId="0" applyNumberFormat="1" applyFont="1" applyFill="1" applyBorder="1" applyAlignment="1" applyProtection="1">
      <alignment horizontal="center" vertical="center"/>
      <protection locked="0" hidden="1"/>
    </xf>
    <xf numFmtId="1" fontId="13" fillId="10" borderId="12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10" borderId="11" xfId="0" applyNumberFormat="1" applyFont="1" applyFill="1" applyBorder="1" applyAlignment="1" applyProtection="1">
      <alignment horizontal="center" vertical="center"/>
      <protection locked="0" hidden="1"/>
    </xf>
    <xf numFmtId="1" fontId="13" fillId="10" borderId="15" xfId="0" applyNumberFormat="1" applyFont="1" applyFill="1" applyBorder="1" applyAlignment="1" applyProtection="1">
      <alignment horizontal="center" vertical="center"/>
      <protection locked="0" hidden="1"/>
    </xf>
    <xf numFmtId="0" fontId="13" fillId="10" borderId="12" xfId="0" applyFont="1" applyFill="1" applyBorder="1" applyAlignment="1" applyProtection="1">
      <alignment horizontal="center" vertical="center"/>
      <protection locked="0" hidden="1"/>
    </xf>
    <xf numFmtId="0" fontId="13" fillId="9" borderId="11" xfId="0" applyFont="1" applyFill="1" applyBorder="1" applyAlignment="1" applyProtection="1">
      <alignment horizontal="center" vertical="center"/>
      <protection locked="0"/>
    </xf>
    <xf numFmtId="1" fontId="13" fillId="0" borderId="13" xfId="0" applyNumberFormat="1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1" fontId="13" fillId="10" borderId="17" xfId="0" applyNumberFormat="1" applyFont="1" applyFill="1" applyBorder="1" applyAlignment="1" applyProtection="1">
      <alignment horizontal="center" vertical="center"/>
      <protection locked="0"/>
    </xf>
    <xf numFmtId="1" fontId="13" fillId="10" borderId="11" xfId="0" applyNumberFormat="1" applyFont="1" applyFill="1" applyBorder="1" applyAlignment="1" applyProtection="1">
      <alignment horizontal="center" vertical="center"/>
      <protection locked="0"/>
    </xf>
    <xf numFmtId="1" fontId="13" fillId="10" borderId="18" xfId="0" applyNumberFormat="1" applyFont="1" applyFill="1" applyBorder="1" applyAlignment="1" applyProtection="1">
      <alignment horizontal="center" vertical="center"/>
      <protection locked="0"/>
    </xf>
    <xf numFmtId="1" fontId="13" fillId="10" borderId="15" xfId="0" applyNumberFormat="1" applyFont="1" applyFill="1" applyBorder="1" applyAlignment="1" applyProtection="1">
      <alignment horizontal="center" vertical="center"/>
      <protection locked="0"/>
    </xf>
    <xf numFmtId="0" fontId="4" fillId="10" borderId="17" xfId="0" applyFont="1" applyFill="1" applyBorder="1" applyAlignment="1" applyProtection="1">
      <alignment horizontal="center" vertical="center"/>
      <protection hidden="1"/>
    </xf>
    <xf numFmtId="0" fontId="4" fillId="10" borderId="11" xfId="0" applyFont="1" applyFill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/>
      <protection locked="0" hidden="1"/>
    </xf>
    <xf numFmtId="0" fontId="6" fillId="10" borderId="11" xfId="0" applyFont="1" applyFill="1" applyBorder="1" applyAlignment="1" applyProtection="1">
      <alignment horizontal="center" vertical="center"/>
      <protection hidden="1"/>
    </xf>
    <xf numFmtId="169" fontId="3" fillId="0" borderId="11" xfId="0" applyNumberFormat="1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6" fillId="12" borderId="38" xfId="0" applyFont="1" applyFill="1" applyBorder="1" applyAlignment="1" applyProtection="1">
      <alignment horizontal="center" vertical="center" wrapText="1"/>
      <protection hidden="1"/>
    </xf>
    <xf numFmtId="0" fontId="6" fillId="12" borderId="50" xfId="0" applyFont="1" applyFill="1" applyBorder="1" applyAlignment="1" applyProtection="1">
      <alignment horizontal="center" vertical="center" wrapText="1"/>
      <protection hidden="1"/>
    </xf>
    <xf numFmtId="0" fontId="6" fillId="10" borderId="17" xfId="0" applyFont="1" applyFill="1" applyBorder="1" applyAlignment="1" applyProtection="1">
      <alignment horizontal="center" vertical="center"/>
      <protection hidden="1"/>
    </xf>
    <xf numFmtId="0" fontId="3" fillId="0" borderId="15" xfId="0" applyFont="1" applyBorder="1" applyAlignment="1" applyProtection="1">
      <alignment horizontal="center" vertical="center"/>
      <protection locked="0" hidden="1"/>
    </xf>
    <xf numFmtId="0" fontId="6" fillId="10" borderId="15" xfId="0" applyFont="1" applyFill="1" applyBorder="1" applyAlignment="1" applyProtection="1">
      <alignment horizontal="center" vertical="center"/>
      <protection hidden="1"/>
    </xf>
    <xf numFmtId="0" fontId="17" fillId="10" borderId="28" xfId="0" applyFont="1" applyFill="1" applyBorder="1" applyAlignment="1" applyProtection="1">
      <alignment horizontal="center" vertical="center"/>
      <protection hidden="1"/>
    </xf>
    <xf numFmtId="0" fontId="17" fillId="10" borderId="29" xfId="0" applyFont="1" applyFill="1" applyBorder="1" applyAlignment="1" applyProtection="1">
      <alignment horizontal="center" vertical="center"/>
      <protection hidden="1"/>
    </xf>
    <xf numFmtId="0" fontId="17" fillId="10" borderId="24" xfId="0" applyFont="1" applyFill="1" applyBorder="1" applyAlignment="1" applyProtection="1">
      <alignment horizontal="center" vertical="center"/>
      <protection hidden="1"/>
    </xf>
    <xf numFmtId="1" fontId="3" fillId="0" borderId="46" xfId="0" applyNumberFormat="1" applyFont="1" applyBorder="1" applyAlignment="1" applyProtection="1">
      <alignment horizontal="center" vertical="center"/>
      <protection locked="0" hidden="1"/>
    </xf>
    <xf numFmtId="1" fontId="3" fillId="0" borderId="51" xfId="0" applyNumberFormat="1" applyFont="1" applyBorder="1" applyAlignment="1" applyProtection="1">
      <alignment horizontal="center" vertical="center"/>
      <protection locked="0" hidden="1"/>
    </xf>
    <xf numFmtId="0" fontId="7" fillId="10" borderId="11" xfId="0" applyFont="1" applyFill="1" applyBorder="1" applyAlignment="1" applyProtection="1">
      <alignment horizontal="center" vertical="center"/>
      <protection hidden="1"/>
    </xf>
    <xf numFmtId="0" fontId="14" fillId="0" borderId="11" xfId="0" applyFont="1" applyBorder="1" applyAlignment="1" applyProtection="1">
      <alignment horizontal="center" vertical="center"/>
      <protection locked="0" hidden="1"/>
    </xf>
    <xf numFmtId="0" fontId="14" fillId="0" borderId="2" xfId="0" applyFont="1" applyBorder="1" applyAlignment="1" applyProtection="1">
      <alignment horizontal="center" vertical="center"/>
      <protection locked="0" hidden="1"/>
    </xf>
    <xf numFmtId="0" fontId="6" fillId="13" borderId="10" xfId="0" applyFont="1" applyFill="1" applyBorder="1" applyAlignment="1" applyProtection="1">
      <alignment horizontal="center" vertical="center"/>
      <protection hidden="1"/>
    </xf>
    <xf numFmtId="0" fontId="6" fillId="13" borderId="9" xfId="0" applyFont="1" applyFill="1" applyBorder="1" applyAlignment="1" applyProtection="1">
      <alignment horizontal="center" vertical="center"/>
      <protection hidden="1"/>
    </xf>
    <xf numFmtId="0" fontId="6" fillId="13" borderId="45" xfId="0" applyFont="1" applyFill="1" applyBorder="1" applyAlignment="1" applyProtection="1">
      <alignment horizontal="center" vertical="center"/>
      <protection hidden="1"/>
    </xf>
    <xf numFmtId="0" fontId="6" fillId="13" borderId="5" xfId="0" applyFont="1" applyFill="1" applyBorder="1" applyAlignment="1" applyProtection="1">
      <alignment horizontal="center" vertical="center"/>
      <protection hidden="1"/>
    </xf>
    <xf numFmtId="0" fontId="6" fillId="13" borderId="0" xfId="0" applyFont="1" applyFill="1" applyAlignment="1" applyProtection="1">
      <alignment horizontal="center" vertical="center"/>
      <protection hidden="1"/>
    </xf>
    <xf numFmtId="0" fontId="6" fillId="13" borderId="4" xfId="0" applyFont="1" applyFill="1" applyBorder="1" applyAlignment="1" applyProtection="1">
      <alignment horizontal="center" vertical="center"/>
      <protection hidden="1"/>
    </xf>
    <xf numFmtId="0" fontId="6" fillId="12" borderId="39" xfId="0" applyFont="1" applyFill="1" applyBorder="1" applyAlignment="1" applyProtection="1">
      <alignment horizontal="center" vertical="center" wrapText="1"/>
      <protection hidden="1"/>
    </xf>
    <xf numFmtId="0" fontId="3" fillId="11" borderId="21" xfId="0" applyFont="1" applyFill="1" applyBorder="1" applyAlignment="1" applyProtection="1">
      <alignment horizontal="center" vertical="center"/>
      <protection locked="0" hidden="1"/>
    </xf>
    <xf numFmtId="0" fontId="3" fillId="11" borderId="52" xfId="0" applyFont="1" applyFill="1" applyBorder="1" applyAlignment="1" applyProtection="1">
      <alignment horizontal="center" vertical="center"/>
      <protection locked="0" hidden="1"/>
    </xf>
    <xf numFmtId="0" fontId="17" fillId="10" borderId="29" xfId="13" applyFont="1" applyFill="1" applyBorder="1" applyAlignment="1" applyProtection="1">
      <alignment horizontal="center" vertical="center"/>
      <protection hidden="1"/>
    </xf>
    <xf numFmtId="0" fontId="68" fillId="0" borderId="34" xfId="13" applyFont="1" applyBorder="1" applyAlignment="1" applyProtection="1">
      <alignment horizontal="center" vertical="center"/>
      <protection locked="0" hidden="1"/>
    </xf>
    <xf numFmtId="0" fontId="8" fillId="12" borderId="38" xfId="0" applyFont="1" applyFill="1" applyBorder="1" applyAlignment="1" applyProtection="1">
      <alignment horizontal="center" vertical="center" wrapText="1"/>
      <protection hidden="1"/>
    </xf>
    <xf numFmtId="0" fontId="8" fillId="12" borderId="53" xfId="0" applyFont="1" applyFill="1" applyBorder="1" applyAlignment="1" applyProtection="1">
      <alignment horizontal="center" vertical="center" wrapText="1"/>
      <protection hidden="1"/>
    </xf>
    <xf numFmtId="0" fontId="7" fillId="10" borderId="7" xfId="0" applyFont="1" applyFill="1" applyBorder="1" applyAlignment="1" applyProtection="1">
      <alignment horizontal="center" vertical="center"/>
      <protection hidden="1"/>
    </xf>
    <xf numFmtId="0" fontId="7" fillId="10" borderId="8" xfId="0" applyFont="1" applyFill="1" applyBorder="1" applyAlignment="1" applyProtection="1">
      <alignment horizontal="center" vertical="center"/>
      <protection hidden="1"/>
    </xf>
    <xf numFmtId="0" fontId="23" fillId="10" borderId="6" xfId="0" applyFont="1" applyFill="1" applyBorder="1" applyAlignment="1" applyProtection="1">
      <alignment horizontal="center" vertical="center"/>
      <protection hidden="1"/>
    </xf>
    <xf numFmtId="0" fontId="23" fillId="10" borderId="7" xfId="0" applyFont="1" applyFill="1" applyBorder="1" applyAlignment="1" applyProtection="1">
      <alignment horizontal="center" vertical="center"/>
      <protection hidden="1"/>
    </xf>
    <xf numFmtId="0" fontId="23" fillId="10" borderId="10" xfId="0" applyFont="1" applyFill="1" applyBorder="1" applyAlignment="1" applyProtection="1">
      <alignment horizontal="center" vertical="center"/>
      <protection hidden="1"/>
    </xf>
    <xf numFmtId="0" fontId="23" fillId="10" borderId="9" xfId="0" applyFont="1" applyFill="1" applyBorder="1" applyAlignment="1" applyProtection="1">
      <alignment horizontal="center" vertical="center"/>
      <protection hidden="1"/>
    </xf>
    <xf numFmtId="0" fontId="7" fillId="10" borderId="9" xfId="0" applyFont="1" applyFill="1" applyBorder="1" applyAlignment="1" applyProtection="1">
      <alignment horizontal="center" vertical="center"/>
      <protection hidden="1"/>
    </xf>
    <xf numFmtId="0" fontId="7" fillId="10" borderId="45" xfId="0" applyFont="1" applyFill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left" vertical="center"/>
      <protection locked="0" hidden="1"/>
    </xf>
    <xf numFmtId="0" fontId="10" fillId="10" borderId="42" xfId="0" applyFont="1" applyFill="1" applyBorder="1" applyAlignment="1" applyProtection="1">
      <alignment horizontal="center" vertical="center"/>
      <protection hidden="1"/>
    </xf>
    <xf numFmtId="168" fontId="27" fillId="0" borderId="42" xfId="0" applyNumberFormat="1" applyFont="1" applyBorder="1" applyAlignment="1" applyProtection="1">
      <alignment horizontal="center" vertical="center"/>
      <protection locked="0" hidden="1"/>
    </xf>
    <xf numFmtId="168" fontId="27" fillId="0" borderId="1" xfId="0" applyNumberFormat="1" applyFont="1" applyBorder="1" applyAlignment="1" applyProtection="1">
      <alignment horizontal="center" vertical="center"/>
      <protection locked="0" hidden="1"/>
    </xf>
    <xf numFmtId="0" fontId="15" fillId="13" borderId="48" xfId="0" applyFont="1" applyFill="1" applyBorder="1" applyAlignment="1" applyProtection="1">
      <alignment horizontal="center" vertical="center"/>
      <protection hidden="1"/>
    </xf>
    <xf numFmtId="0" fontId="16" fillId="13" borderId="40" xfId="0" applyFont="1" applyFill="1" applyBorder="1" applyAlignment="1" applyProtection="1">
      <alignment horizontal="center" vertical="center"/>
      <protection hidden="1"/>
    </xf>
    <xf numFmtId="0" fontId="16" fillId="13" borderId="49" xfId="0" applyFont="1" applyFill="1" applyBorder="1" applyAlignment="1" applyProtection="1">
      <alignment horizontal="center" vertical="center"/>
      <protection hidden="1"/>
    </xf>
    <xf numFmtId="0" fontId="10" fillId="10" borderId="44" xfId="0" applyFont="1" applyFill="1" applyBorder="1" applyAlignment="1" applyProtection="1">
      <alignment horizontal="center" vertical="center"/>
      <protection hidden="1"/>
    </xf>
    <xf numFmtId="0" fontId="11" fillId="10" borderId="17" xfId="0" applyFont="1" applyFill="1" applyBorder="1" applyAlignment="1" applyProtection="1">
      <alignment horizontal="center" vertical="center"/>
      <protection hidden="1"/>
    </xf>
    <xf numFmtId="0" fontId="11" fillId="10" borderId="11" xfId="0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locked="0" hidden="1"/>
    </xf>
    <xf numFmtId="0" fontId="9" fillId="0" borderId="2" xfId="0" applyFont="1" applyBorder="1" applyAlignment="1" applyProtection="1">
      <alignment horizontal="center" vertical="center"/>
      <protection locked="0" hidden="1"/>
    </xf>
    <xf numFmtId="0" fontId="3" fillId="0" borderId="11" xfId="0" applyFont="1" applyBorder="1" applyAlignment="1" applyProtection="1">
      <alignment horizontal="left" vertical="center"/>
      <protection locked="0" hidden="1"/>
    </xf>
    <xf numFmtId="1" fontId="3" fillId="10" borderId="11" xfId="0" applyNumberFormat="1" applyFont="1" applyFill="1" applyBorder="1" applyAlignment="1" applyProtection="1">
      <alignment horizontal="center" vertical="center"/>
      <protection hidden="1"/>
    </xf>
    <xf numFmtId="0" fontId="3" fillId="10" borderId="2" xfId="0" applyFont="1" applyFill="1" applyBorder="1" applyAlignment="1" applyProtection="1">
      <alignment horizontal="center" vertical="center"/>
      <protection hidden="1"/>
    </xf>
    <xf numFmtId="1" fontId="3" fillId="10" borderId="12" xfId="0" applyNumberFormat="1" applyFont="1" applyFill="1" applyBorder="1" applyAlignment="1" applyProtection="1">
      <alignment horizontal="center" vertical="center"/>
      <protection hidden="1"/>
    </xf>
    <xf numFmtId="0" fontId="3" fillId="10" borderId="47" xfId="0" applyFont="1" applyFill="1" applyBorder="1" applyAlignment="1" applyProtection="1">
      <alignment horizontal="center" vertical="center"/>
      <protection hidden="1"/>
    </xf>
    <xf numFmtId="0" fontId="13" fillId="10" borderId="12" xfId="0" applyFont="1" applyFill="1" applyBorder="1" applyAlignment="1" applyProtection="1">
      <alignment horizontal="center" vertical="center"/>
      <protection hidden="1"/>
    </xf>
    <xf numFmtId="0" fontId="13" fillId="10" borderId="25" xfId="0" applyFont="1" applyFill="1" applyBorder="1" applyAlignment="1" applyProtection="1">
      <alignment horizontal="center" vertical="center"/>
      <protection hidden="1"/>
    </xf>
    <xf numFmtId="0" fontId="13" fillId="10" borderId="11" xfId="0" applyFont="1" applyFill="1" applyBorder="1" applyAlignment="1" applyProtection="1">
      <alignment horizontal="center" vertical="center"/>
      <protection hidden="1"/>
    </xf>
    <xf numFmtId="0" fontId="13" fillId="10" borderId="14" xfId="0" applyFont="1" applyFill="1" applyBorder="1" applyAlignment="1" applyProtection="1">
      <alignment horizontal="center" vertical="center"/>
      <protection hidden="1"/>
    </xf>
    <xf numFmtId="0" fontId="13" fillId="10" borderId="15" xfId="0" applyFont="1" applyFill="1" applyBorder="1" applyAlignment="1" applyProtection="1">
      <alignment horizontal="center" vertical="center"/>
      <protection hidden="1"/>
    </xf>
    <xf numFmtId="0" fontId="13" fillId="10" borderId="46" xfId="0" applyFont="1" applyFill="1" applyBorder="1" applyAlignment="1" applyProtection="1">
      <alignment horizontal="center" vertical="center"/>
      <protection hidden="1"/>
    </xf>
    <xf numFmtId="171" fontId="8" fillId="10" borderId="16" xfId="0" applyNumberFormat="1" applyFont="1" applyFill="1" applyBorder="1" applyAlignment="1" applyProtection="1">
      <alignment horizontal="center" vertical="center"/>
      <protection hidden="1"/>
    </xf>
    <xf numFmtId="171" fontId="8" fillId="10" borderId="41" xfId="0" applyNumberFormat="1" applyFont="1" applyFill="1" applyBorder="1" applyAlignment="1" applyProtection="1">
      <alignment horizontal="center" vertical="center"/>
      <protection hidden="1"/>
    </xf>
    <xf numFmtId="1" fontId="3" fillId="10" borderId="15" xfId="0" applyNumberFormat="1" applyFont="1" applyFill="1" applyBorder="1" applyAlignment="1" applyProtection="1">
      <alignment horizontal="center" vertical="center"/>
      <protection hidden="1"/>
    </xf>
    <xf numFmtId="0" fontId="3" fillId="10" borderId="37" xfId="0" applyFont="1" applyFill="1" applyBorder="1" applyAlignment="1" applyProtection="1">
      <alignment horizontal="center" vertical="center"/>
      <protection hidden="1"/>
    </xf>
    <xf numFmtId="166" fontId="8" fillId="10" borderId="38" xfId="0" applyNumberFormat="1" applyFont="1" applyFill="1" applyBorder="1" applyAlignment="1" applyProtection="1">
      <alignment horizontal="center" vertical="center"/>
      <protection hidden="1"/>
    </xf>
    <xf numFmtId="166" fontId="8" fillId="10" borderId="39" xfId="0" applyNumberFormat="1" applyFont="1" applyFill="1" applyBorder="1" applyAlignment="1" applyProtection="1">
      <alignment horizontal="center" vertical="center"/>
      <protection hidden="1"/>
    </xf>
    <xf numFmtId="0" fontId="12" fillId="13" borderId="40" xfId="0" applyFont="1" applyFill="1" applyBorder="1" applyAlignment="1" applyProtection="1">
      <alignment horizontal="center" vertical="center" wrapText="1"/>
      <protection hidden="1"/>
    </xf>
    <xf numFmtId="0" fontId="13" fillId="10" borderId="17" xfId="0" applyFont="1" applyFill="1" applyBorder="1" applyAlignment="1" applyProtection="1">
      <alignment horizontal="left" vertical="center" wrapText="1"/>
      <protection hidden="1"/>
    </xf>
    <xf numFmtId="0" fontId="13" fillId="10" borderId="11" xfId="0" applyFont="1" applyFill="1" applyBorder="1" applyAlignment="1" applyProtection="1">
      <alignment horizontal="left" vertical="center" wrapText="1"/>
      <protection hidden="1"/>
    </xf>
    <xf numFmtId="1" fontId="13" fillId="10" borderId="41" xfId="0" applyNumberFormat="1" applyFont="1" applyFill="1" applyBorder="1" applyAlignment="1" applyProtection="1">
      <alignment horizontal="center" vertical="center"/>
      <protection hidden="1"/>
    </xf>
    <xf numFmtId="0" fontId="13" fillId="10" borderId="27" xfId="0" applyFont="1" applyFill="1" applyBorder="1" applyAlignment="1" applyProtection="1">
      <alignment horizontal="center" vertical="center"/>
      <protection hidden="1"/>
    </xf>
    <xf numFmtId="166" fontId="3" fillId="0" borderId="42" xfId="0" applyNumberFormat="1" applyFont="1" applyBorder="1" applyAlignment="1" applyProtection="1">
      <alignment horizontal="center" vertical="center"/>
      <protection locked="0" hidden="1"/>
    </xf>
    <xf numFmtId="166" fontId="3" fillId="0" borderId="43" xfId="0" applyNumberFormat="1" applyFont="1" applyBorder="1" applyAlignment="1" applyProtection="1">
      <alignment horizontal="center" vertical="center"/>
      <protection locked="0" hidden="1"/>
    </xf>
    <xf numFmtId="166" fontId="3" fillId="0" borderId="11" xfId="0" applyNumberFormat="1" applyFont="1" applyBorder="1" applyAlignment="1" applyProtection="1">
      <alignment horizontal="center" vertical="center"/>
      <protection locked="0" hidden="1"/>
    </xf>
    <xf numFmtId="166" fontId="3" fillId="0" borderId="14" xfId="0" applyNumberFormat="1" applyFont="1" applyBorder="1" applyAlignment="1" applyProtection="1">
      <alignment horizontal="center" vertical="center"/>
      <protection locked="0" hidden="1"/>
    </xf>
    <xf numFmtId="1" fontId="13" fillId="10" borderId="25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10" borderId="26" xfId="0" applyNumberFormat="1" applyFont="1" applyFill="1" applyBorder="1" applyAlignment="1" applyProtection="1">
      <alignment horizontal="center" vertical="center" wrapText="1"/>
      <protection locked="0" hidden="1"/>
    </xf>
    <xf numFmtId="0" fontId="61" fillId="0" borderId="0" xfId="0" applyFont="1" applyAlignment="1" applyProtection="1">
      <alignment horizontal="center" vertical="center"/>
      <protection hidden="1"/>
    </xf>
    <xf numFmtId="0" fontId="61" fillId="0" borderId="4" xfId="0" applyFont="1" applyBorder="1" applyAlignment="1" applyProtection="1">
      <alignment horizontal="center" vertical="center"/>
      <protection hidden="1"/>
    </xf>
    <xf numFmtId="0" fontId="13" fillId="10" borderId="44" xfId="0" applyFont="1" applyFill="1" applyBorder="1" applyAlignment="1" applyProtection="1">
      <alignment horizontal="left" vertical="center" wrapText="1"/>
      <protection hidden="1"/>
    </xf>
    <xf numFmtId="0" fontId="13" fillId="10" borderId="42" xfId="0" applyFont="1" applyFill="1" applyBorder="1" applyAlignment="1" applyProtection="1">
      <alignment horizontal="left" vertical="center" wrapText="1"/>
      <protection hidden="1"/>
    </xf>
    <xf numFmtId="166" fontId="22" fillId="10" borderId="42" xfId="0" applyNumberFormat="1" applyFont="1" applyFill="1" applyBorder="1" applyAlignment="1" applyProtection="1">
      <alignment horizontal="center" vertical="center"/>
      <protection hidden="1"/>
    </xf>
    <xf numFmtId="166" fontId="22" fillId="10" borderId="43" xfId="0" applyNumberFormat="1" applyFont="1" applyFill="1" applyBorder="1" applyAlignment="1" applyProtection="1">
      <alignment horizontal="center" vertical="center"/>
      <protection hidden="1"/>
    </xf>
    <xf numFmtId="0" fontId="13" fillId="10" borderId="32" xfId="0" applyFont="1" applyFill="1" applyBorder="1" applyAlignment="1" applyProtection="1">
      <alignment horizontal="center" vertical="center"/>
      <protection hidden="1"/>
    </xf>
    <xf numFmtId="0" fontId="13" fillId="10" borderId="33" xfId="0" applyFont="1" applyFill="1" applyBorder="1" applyAlignment="1" applyProtection="1">
      <alignment horizontal="center" vertical="center"/>
      <protection hidden="1"/>
    </xf>
    <xf numFmtId="0" fontId="13" fillId="10" borderId="23" xfId="0" applyFont="1" applyFill="1" applyBorder="1" applyAlignment="1" applyProtection="1">
      <alignment horizontal="center" vertical="center"/>
      <protection hidden="1"/>
    </xf>
    <xf numFmtId="0" fontId="13" fillId="10" borderId="30" xfId="0" applyFont="1" applyFill="1" applyBorder="1" applyAlignment="1" applyProtection="1">
      <alignment horizontal="center" vertical="center"/>
      <protection hidden="1"/>
    </xf>
    <xf numFmtId="0" fontId="13" fillId="10" borderId="31" xfId="0" applyFont="1" applyFill="1" applyBorder="1" applyAlignment="1" applyProtection="1">
      <alignment horizontal="center" vertical="center"/>
      <protection hidden="1"/>
    </xf>
    <xf numFmtId="0" fontId="13" fillId="10" borderId="22" xfId="0" applyFont="1" applyFill="1" applyBorder="1" applyAlignment="1" applyProtection="1">
      <alignment horizontal="center" vertical="center"/>
      <protection hidden="1"/>
    </xf>
    <xf numFmtId="171" fontId="22" fillId="14" borderId="34" xfId="0" applyNumberFormat="1" applyFont="1" applyFill="1" applyBorder="1" applyAlignment="1" applyProtection="1">
      <alignment horizontal="center" vertical="center"/>
      <protection hidden="1"/>
    </xf>
    <xf numFmtId="171" fontId="22" fillId="14" borderId="3" xfId="0" applyNumberFormat="1" applyFont="1" applyFill="1" applyBorder="1" applyAlignment="1" applyProtection="1">
      <alignment horizontal="center" vertical="center"/>
      <protection hidden="1"/>
    </xf>
    <xf numFmtId="166" fontId="22" fillId="10" borderId="11" xfId="0" applyNumberFormat="1" applyFont="1" applyFill="1" applyBorder="1" applyAlignment="1" applyProtection="1">
      <alignment horizontal="center" vertical="center"/>
      <protection hidden="1"/>
    </xf>
    <xf numFmtId="166" fontId="22" fillId="10" borderId="14" xfId="0" applyNumberFormat="1" applyFont="1" applyFill="1" applyBorder="1" applyAlignment="1" applyProtection="1">
      <alignment horizontal="center" vertical="center"/>
      <protection hidden="1"/>
    </xf>
    <xf numFmtId="166" fontId="22" fillId="10" borderId="2" xfId="0" applyNumberFormat="1" applyFont="1" applyFill="1" applyBorder="1" applyAlignment="1" applyProtection="1">
      <alignment horizontal="center" vertical="center"/>
      <protection hidden="1"/>
    </xf>
    <xf numFmtId="0" fontId="8" fillId="10" borderId="32" xfId="0" applyFont="1" applyFill="1" applyBorder="1" applyAlignment="1" applyProtection="1">
      <alignment horizontal="center" vertical="center" wrapText="1"/>
      <protection hidden="1"/>
    </xf>
    <xf numFmtId="0" fontId="8" fillId="10" borderId="33" xfId="0" applyFont="1" applyFill="1" applyBorder="1" applyAlignment="1" applyProtection="1">
      <alignment horizontal="center" vertical="center" wrapText="1"/>
      <protection hidden="1"/>
    </xf>
    <xf numFmtId="0" fontId="8" fillId="10" borderId="23" xfId="0" applyFont="1" applyFill="1" applyBorder="1" applyAlignment="1" applyProtection="1">
      <alignment horizontal="center" vertical="center" wrapText="1"/>
      <protection hidden="1"/>
    </xf>
    <xf numFmtId="0" fontId="8" fillId="10" borderId="32" xfId="0" applyFont="1" applyFill="1" applyBorder="1" applyAlignment="1" applyProtection="1">
      <alignment horizontal="center" vertical="center"/>
      <protection hidden="1"/>
    </xf>
    <xf numFmtId="0" fontId="8" fillId="10" borderId="33" xfId="0" applyFont="1" applyFill="1" applyBorder="1" applyAlignment="1" applyProtection="1">
      <alignment horizontal="center" vertical="center"/>
      <protection hidden="1"/>
    </xf>
    <xf numFmtId="0" fontId="8" fillId="10" borderId="23" xfId="0" applyFont="1" applyFill="1" applyBorder="1" applyAlignment="1" applyProtection="1">
      <alignment horizontal="center" vertical="center"/>
      <protection hidden="1"/>
    </xf>
    <xf numFmtId="0" fontId="6" fillId="14" borderId="28" xfId="0" applyFont="1" applyFill="1" applyBorder="1" applyAlignment="1" applyProtection="1">
      <alignment horizontal="center" vertical="center"/>
      <protection hidden="1"/>
    </xf>
    <xf numFmtId="0" fontId="6" fillId="14" borderId="29" xfId="0" applyFont="1" applyFill="1" applyBorder="1" applyAlignment="1" applyProtection="1">
      <alignment horizontal="center" vertical="center"/>
      <protection hidden="1"/>
    </xf>
    <xf numFmtId="0" fontId="6" fillId="14" borderId="24" xfId="0" applyFont="1" applyFill="1" applyBorder="1" applyAlignment="1" applyProtection="1">
      <alignment horizontal="center" vertical="center"/>
      <protection hidden="1"/>
    </xf>
    <xf numFmtId="166" fontId="22" fillId="10" borderId="33" xfId="0" applyNumberFormat="1" applyFont="1" applyFill="1" applyBorder="1" applyAlignment="1" applyProtection="1">
      <alignment horizontal="center" vertical="center"/>
      <protection hidden="1"/>
    </xf>
    <xf numFmtId="166" fontId="22" fillId="10" borderId="35" xfId="0" applyNumberFormat="1" applyFont="1" applyFill="1" applyBorder="1" applyAlignment="1" applyProtection="1">
      <alignment horizontal="center" vertical="center"/>
      <protection hidden="1"/>
    </xf>
    <xf numFmtId="0" fontId="8" fillId="10" borderId="36" xfId="0" applyFont="1" applyFill="1" applyBorder="1" applyAlignment="1" applyProtection="1">
      <alignment horizontal="center" vertical="center" wrapText="1"/>
      <protection hidden="1"/>
    </xf>
    <xf numFmtId="0" fontId="8" fillId="10" borderId="34" xfId="0" applyFont="1" applyFill="1" applyBorder="1" applyAlignment="1" applyProtection="1">
      <alignment horizontal="center" vertical="center" wrapText="1"/>
      <protection hidden="1"/>
    </xf>
    <xf numFmtId="0" fontId="61" fillId="9" borderId="0" xfId="0" applyFont="1" applyFill="1" applyAlignment="1" applyProtection="1">
      <alignment horizontal="center" vertical="center" wrapText="1"/>
      <protection hidden="1"/>
    </xf>
    <xf numFmtId="166" fontId="6" fillId="10" borderId="34" xfId="0" applyNumberFormat="1" applyFont="1" applyFill="1" applyBorder="1" applyAlignment="1" applyProtection="1">
      <alignment horizontal="center" vertical="center"/>
      <protection hidden="1"/>
    </xf>
    <xf numFmtId="166" fontId="6" fillId="10" borderId="21" xfId="0" applyNumberFormat="1" applyFont="1" applyFill="1" applyBorder="1" applyAlignment="1" applyProtection="1">
      <alignment horizontal="center" vertical="center"/>
      <protection hidden="1"/>
    </xf>
    <xf numFmtId="0" fontId="67" fillId="9" borderId="10" xfId="13" applyFont="1" applyFill="1" applyBorder="1" applyAlignment="1" applyProtection="1">
      <alignment horizontal="center" vertical="center" wrapText="1"/>
      <protection hidden="1"/>
    </xf>
    <xf numFmtId="0" fontId="67" fillId="9" borderId="9" xfId="13" applyFont="1" applyFill="1" applyBorder="1" applyAlignment="1" applyProtection="1">
      <alignment horizontal="center" vertical="center" wrapText="1"/>
      <protection hidden="1"/>
    </xf>
    <xf numFmtId="0" fontId="67" fillId="9" borderId="45" xfId="13" applyFont="1" applyFill="1" applyBorder="1" applyAlignment="1" applyProtection="1">
      <alignment horizontal="center" vertical="center" wrapText="1"/>
      <protection hidden="1"/>
    </xf>
    <xf numFmtId="0" fontId="6" fillId="10" borderId="6" xfId="0" applyFont="1" applyFill="1" applyBorder="1" applyAlignment="1" applyProtection="1">
      <alignment horizontal="center" vertical="center"/>
      <protection hidden="1"/>
    </xf>
    <xf numFmtId="0" fontId="6" fillId="10" borderId="27" xfId="0" applyFont="1" applyFill="1" applyBorder="1" applyAlignment="1" applyProtection="1">
      <alignment horizontal="center" vertical="center"/>
      <protection hidden="1"/>
    </xf>
    <xf numFmtId="172" fontId="61" fillId="9" borderId="6" xfId="0" applyNumberFormat="1" applyFont="1" applyFill="1" applyBorder="1" applyAlignment="1" applyProtection="1">
      <alignment horizontal="center" vertical="center" wrapText="1"/>
      <protection hidden="1"/>
    </xf>
    <xf numFmtId="172" fontId="61" fillId="9" borderId="7" xfId="0" applyNumberFormat="1" applyFont="1" applyFill="1" applyBorder="1" applyAlignment="1" applyProtection="1">
      <alignment horizontal="center" vertical="center" wrapText="1"/>
      <protection hidden="1"/>
    </xf>
    <xf numFmtId="0" fontId="8" fillId="10" borderId="28" xfId="0" applyFont="1" applyFill="1" applyBorder="1" applyAlignment="1" applyProtection="1">
      <alignment horizontal="center" vertical="center" wrapText="1"/>
      <protection hidden="1"/>
    </xf>
    <xf numFmtId="0" fontId="8" fillId="10" borderId="29" xfId="0" applyFont="1" applyFill="1" applyBorder="1" applyAlignment="1" applyProtection="1">
      <alignment horizontal="center" vertical="center" wrapText="1"/>
      <protection hidden="1"/>
    </xf>
    <xf numFmtId="0" fontId="8" fillId="10" borderId="24" xfId="0" applyFont="1" applyFill="1" applyBorder="1" applyAlignment="1" applyProtection="1">
      <alignment horizontal="center" vertical="center" wrapText="1"/>
      <protection hidden="1"/>
    </xf>
    <xf numFmtId="0" fontId="12" fillId="13" borderId="30" xfId="0" applyFont="1" applyFill="1" applyBorder="1" applyAlignment="1" applyProtection="1">
      <alignment horizontal="center" vertical="center" wrapText="1"/>
      <protection hidden="1"/>
    </xf>
    <xf numFmtId="0" fontId="12" fillId="13" borderId="31" xfId="0" applyFont="1" applyFill="1" applyBorder="1" applyAlignment="1" applyProtection="1">
      <alignment horizontal="center" vertical="center" wrapText="1"/>
      <protection hidden="1"/>
    </xf>
    <xf numFmtId="0" fontId="8" fillId="10" borderId="28" xfId="0" applyFont="1" applyFill="1" applyBorder="1" applyAlignment="1" applyProtection="1">
      <alignment horizontal="center" vertical="center"/>
      <protection hidden="1"/>
    </xf>
    <xf numFmtId="0" fontId="8" fillId="10" borderId="29" xfId="0" applyFont="1" applyFill="1" applyBorder="1" applyAlignment="1" applyProtection="1">
      <alignment horizontal="center" vertical="center"/>
      <protection hidden="1"/>
    </xf>
    <xf numFmtId="0" fontId="8" fillId="10" borderId="24" xfId="0" applyFont="1" applyFill="1" applyBorder="1" applyAlignment="1" applyProtection="1">
      <alignment horizontal="center" vertical="center"/>
      <protection hidden="1"/>
    </xf>
    <xf numFmtId="0" fontId="8" fillId="10" borderId="30" xfId="0" applyFont="1" applyFill="1" applyBorder="1" applyAlignment="1" applyProtection="1">
      <alignment horizontal="center" vertical="center"/>
      <protection hidden="1"/>
    </xf>
    <xf numFmtId="0" fontId="8" fillId="10" borderId="31" xfId="0" applyFont="1" applyFill="1" applyBorder="1" applyAlignment="1" applyProtection="1">
      <alignment horizontal="center" vertical="center"/>
      <protection hidden="1"/>
    </xf>
    <xf numFmtId="0" fontId="8" fillId="10" borderId="22" xfId="0" applyFont="1" applyFill="1" applyBorder="1" applyAlignment="1" applyProtection="1">
      <alignment horizontal="center" vertical="center"/>
      <protection hidden="1"/>
    </xf>
    <xf numFmtId="1" fontId="13" fillId="9" borderId="25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9" borderId="26" xfId="0" applyNumberFormat="1" applyFont="1" applyFill="1" applyBorder="1" applyAlignment="1" applyProtection="1">
      <alignment horizontal="center" vertical="center" wrapText="1"/>
      <protection locked="0" hidden="1"/>
    </xf>
    <xf numFmtId="0" fontId="7" fillId="13" borderId="57" xfId="0" applyFont="1" applyFill="1" applyBorder="1" applyAlignment="1">
      <alignment horizontal="center" vertical="center"/>
    </xf>
    <xf numFmtId="0" fontId="7" fillId="13" borderId="16" xfId="0" applyFont="1" applyFill="1" applyBorder="1" applyAlignment="1">
      <alignment horizontal="center" vertical="center"/>
    </xf>
    <xf numFmtId="0" fontId="7" fillId="13" borderId="58" xfId="0" applyFont="1" applyFill="1" applyBorder="1" applyAlignment="1">
      <alignment horizontal="center" vertical="center"/>
    </xf>
    <xf numFmtId="0" fontId="13" fillId="10" borderId="44" xfId="0" applyFont="1" applyFill="1" applyBorder="1" applyAlignment="1">
      <alignment horizontal="left" vertical="center"/>
    </xf>
    <xf numFmtId="0" fontId="13" fillId="10" borderId="42" xfId="0" applyFont="1" applyFill="1" applyBorder="1" applyAlignment="1">
      <alignment horizontal="left" vertical="center"/>
    </xf>
    <xf numFmtId="0" fontId="13" fillId="10" borderId="17" xfId="0" applyFont="1" applyFill="1" applyBorder="1" applyAlignment="1">
      <alignment horizontal="left" vertical="center"/>
    </xf>
    <xf numFmtId="0" fontId="13" fillId="10" borderId="11" xfId="0" applyFont="1" applyFill="1" applyBorder="1" applyAlignment="1">
      <alignment horizontal="left" vertical="center"/>
    </xf>
    <xf numFmtId="0" fontId="13" fillId="10" borderId="17" xfId="0" applyFont="1" applyFill="1" applyBorder="1" applyAlignment="1">
      <alignment horizontal="left" vertical="center" wrapText="1"/>
    </xf>
    <xf numFmtId="0" fontId="13" fillId="10" borderId="11" xfId="0" applyFont="1" applyFill="1" applyBorder="1" applyAlignment="1">
      <alignment horizontal="left" vertical="center" wrapText="1"/>
    </xf>
    <xf numFmtId="165" fontId="13" fillId="10" borderId="11" xfId="0" applyNumberFormat="1" applyFont="1" applyFill="1" applyBorder="1" applyAlignment="1">
      <alignment horizontal="center" vertical="center" wrapText="1"/>
    </xf>
    <xf numFmtId="165" fontId="13" fillId="10" borderId="2" xfId="0" applyNumberFormat="1" applyFont="1" applyFill="1" applyBorder="1" applyAlignment="1">
      <alignment horizontal="center" vertical="center" wrapText="1"/>
    </xf>
    <xf numFmtId="0" fontId="13" fillId="10" borderId="42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13" fillId="10" borderId="17" xfId="0" applyFont="1" applyFill="1" applyBorder="1" applyAlignment="1">
      <alignment horizontal="center" vertical="center" wrapText="1"/>
    </xf>
    <xf numFmtId="167" fontId="13" fillId="10" borderId="11" xfId="0" applyNumberFormat="1" applyFont="1" applyFill="1" applyBorder="1" applyAlignment="1" applyProtection="1">
      <alignment horizontal="center" vertical="center"/>
      <protection locked="0"/>
    </xf>
    <xf numFmtId="167" fontId="13" fillId="10" borderId="2" xfId="0" applyNumberFormat="1" applyFont="1" applyFill="1" applyBorder="1" applyAlignment="1" applyProtection="1">
      <alignment horizontal="center" vertical="center"/>
      <protection locked="0"/>
    </xf>
    <xf numFmtId="0" fontId="6" fillId="14" borderId="17" xfId="0" applyFont="1" applyFill="1" applyBorder="1" applyAlignment="1">
      <alignment horizontal="center" vertical="center" wrapText="1"/>
    </xf>
    <xf numFmtId="0" fontId="6" fillId="14" borderId="11" xfId="0" applyFont="1" applyFill="1" applyBorder="1" applyAlignment="1">
      <alignment horizontal="center" vertical="center" wrapText="1"/>
    </xf>
    <xf numFmtId="165" fontId="8" fillId="14" borderId="11" xfId="0" applyNumberFormat="1" applyFont="1" applyFill="1" applyBorder="1" applyAlignment="1">
      <alignment horizontal="center" vertical="center"/>
    </xf>
    <xf numFmtId="165" fontId="8" fillId="14" borderId="2" xfId="0" applyNumberFormat="1" applyFont="1" applyFill="1" applyBorder="1" applyAlignment="1">
      <alignment horizontal="center" vertical="center"/>
    </xf>
    <xf numFmtId="0" fontId="8" fillId="15" borderId="54" xfId="0" applyFont="1" applyFill="1" applyBorder="1" applyAlignment="1">
      <alignment horizontal="center" vertical="center" wrapText="1"/>
    </xf>
    <xf numFmtId="0" fontId="8" fillId="15" borderId="51" xfId="0" applyFont="1" applyFill="1" applyBorder="1" applyAlignment="1">
      <alignment horizontal="center" vertical="center" wrapText="1"/>
    </xf>
    <xf numFmtId="0" fontId="8" fillId="15" borderId="56" xfId="0" applyFont="1" applyFill="1" applyBorder="1" applyAlignment="1">
      <alignment horizontal="center" vertical="center" wrapText="1"/>
    </xf>
    <xf numFmtId="0" fontId="13" fillId="10" borderId="36" xfId="0" applyFont="1" applyFill="1" applyBorder="1" applyAlignment="1">
      <alignment horizontal="left" vertical="center" wrapText="1"/>
    </xf>
    <xf numFmtId="0" fontId="13" fillId="10" borderId="34" xfId="0" applyFont="1" applyFill="1" applyBorder="1" applyAlignment="1">
      <alignment horizontal="left" vertical="center" wrapText="1"/>
    </xf>
    <xf numFmtId="165" fontId="6" fillId="14" borderId="6" xfId="0" applyNumberFormat="1" applyFont="1" applyFill="1" applyBorder="1" applyAlignment="1">
      <alignment horizontal="center" vertical="center"/>
    </xf>
    <xf numFmtId="165" fontId="6" fillId="14" borderId="7" xfId="0" applyNumberFormat="1" applyFont="1" applyFill="1" applyBorder="1" applyAlignment="1">
      <alignment horizontal="center" vertical="center"/>
    </xf>
    <xf numFmtId="165" fontId="6" fillId="14" borderId="8" xfId="0" applyNumberFormat="1" applyFont="1" applyFill="1" applyBorder="1" applyAlignment="1">
      <alignment horizontal="center" vertical="center"/>
    </xf>
    <xf numFmtId="0" fontId="13" fillId="10" borderId="32" xfId="0" applyFont="1" applyFill="1" applyBorder="1" applyAlignment="1">
      <alignment horizontal="left" vertical="center"/>
    </xf>
    <xf numFmtId="0" fontId="13" fillId="10" borderId="33" xfId="0" applyFont="1" applyFill="1" applyBorder="1" applyAlignment="1">
      <alignment horizontal="left" vertical="center"/>
    </xf>
    <xf numFmtId="0" fontId="13" fillId="10" borderId="23" xfId="0" applyFont="1" applyFill="1" applyBorder="1" applyAlignment="1">
      <alignment horizontal="left" vertical="center"/>
    </xf>
    <xf numFmtId="0" fontId="13" fillId="10" borderId="44" xfId="0" applyFont="1" applyFill="1" applyBorder="1" applyAlignment="1">
      <alignment horizontal="left" vertical="center" wrapText="1"/>
    </xf>
    <xf numFmtId="0" fontId="13" fillId="10" borderId="42" xfId="0" applyFont="1" applyFill="1" applyBorder="1" applyAlignment="1">
      <alignment horizontal="left" vertical="center" wrapText="1"/>
    </xf>
    <xf numFmtId="0" fontId="25" fillId="10" borderId="17" xfId="0" applyFont="1" applyFill="1" applyBorder="1" applyAlignment="1">
      <alignment horizontal="left" vertical="center" wrapText="1"/>
    </xf>
    <xf numFmtId="0" fontId="25" fillId="10" borderId="11" xfId="0" applyFont="1" applyFill="1" applyBorder="1" applyAlignment="1">
      <alignment horizontal="left" vertical="center" wrapText="1"/>
    </xf>
    <xf numFmtId="0" fontId="6" fillId="14" borderId="6" xfId="0" applyFont="1" applyFill="1" applyBorder="1" applyAlignment="1">
      <alignment horizontal="center" vertical="center" wrapText="1"/>
    </xf>
    <xf numFmtId="0" fontId="6" fillId="14" borderId="7" xfId="0" applyFont="1" applyFill="1" applyBorder="1" applyAlignment="1">
      <alignment horizontal="center" vertical="center" wrapText="1"/>
    </xf>
    <xf numFmtId="0" fontId="6" fillId="14" borderId="8" xfId="0" applyFont="1" applyFill="1" applyBorder="1" applyAlignment="1">
      <alignment horizontal="center" vertical="center" wrapText="1"/>
    </xf>
    <xf numFmtId="0" fontId="13" fillId="10" borderId="28" xfId="0" applyFont="1" applyFill="1" applyBorder="1" applyAlignment="1">
      <alignment horizontal="left" vertical="center"/>
    </xf>
    <xf numFmtId="0" fontId="13" fillId="10" borderId="29" xfId="0" applyFont="1" applyFill="1" applyBorder="1" applyAlignment="1">
      <alignment horizontal="left" vertical="center"/>
    </xf>
    <xf numFmtId="0" fontId="13" fillId="10" borderId="24" xfId="0" applyFont="1" applyFill="1" applyBorder="1" applyAlignment="1">
      <alignment horizontal="left" vertical="center"/>
    </xf>
    <xf numFmtId="167" fontId="13" fillId="10" borderId="42" xfId="0" applyNumberFormat="1" applyFont="1" applyFill="1" applyBorder="1" applyAlignment="1">
      <alignment horizontal="center" vertical="center"/>
    </xf>
    <xf numFmtId="167" fontId="13" fillId="10" borderId="1" xfId="0" applyNumberFormat="1" applyFont="1" applyFill="1" applyBorder="1" applyAlignment="1">
      <alignment horizontal="center" vertical="center"/>
    </xf>
    <xf numFmtId="167" fontId="13" fillId="10" borderId="11" xfId="0" applyNumberFormat="1" applyFont="1" applyFill="1" applyBorder="1" applyAlignment="1">
      <alignment horizontal="center" vertical="center" wrapText="1"/>
    </xf>
    <xf numFmtId="167" fontId="13" fillId="10" borderId="2" xfId="0" applyNumberFormat="1" applyFont="1" applyFill="1" applyBorder="1" applyAlignment="1">
      <alignment horizontal="center" vertical="center" wrapText="1"/>
    </xf>
    <xf numFmtId="0" fontId="13" fillId="10" borderId="44" xfId="0" applyFont="1" applyFill="1" applyBorder="1" applyAlignment="1">
      <alignment horizontal="right" vertical="center" wrapText="1"/>
    </xf>
    <xf numFmtId="0" fontId="13" fillId="10" borderId="42" xfId="0" applyFont="1" applyFill="1" applyBorder="1" applyAlignment="1">
      <alignment horizontal="right" vertical="center" wrapText="1"/>
    </xf>
    <xf numFmtId="0" fontId="13" fillId="10" borderId="17" xfId="0" applyFont="1" applyFill="1" applyBorder="1" applyAlignment="1">
      <alignment horizontal="right" vertical="center" wrapText="1"/>
    </xf>
    <xf numFmtId="0" fontId="13" fillId="10" borderId="11" xfId="0" applyFont="1" applyFill="1" applyBorder="1" applyAlignment="1">
      <alignment horizontal="right" vertical="center" wrapText="1"/>
    </xf>
    <xf numFmtId="0" fontId="6" fillId="14" borderId="54" xfId="0" applyFont="1" applyFill="1" applyBorder="1" applyAlignment="1">
      <alignment horizontal="center" vertical="center" wrapText="1"/>
    </xf>
    <xf numFmtId="0" fontId="6" fillId="14" borderId="51" xfId="0" applyFont="1" applyFill="1" applyBorder="1" applyAlignment="1">
      <alignment horizontal="center" vertical="center" wrapText="1"/>
    </xf>
    <xf numFmtId="0" fontId="6" fillId="14" borderId="55" xfId="0" applyFont="1" applyFill="1" applyBorder="1" applyAlignment="1">
      <alignment horizontal="center" vertical="center" wrapText="1"/>
    </xf>
    <xf numFmtId="165" fontId="8" fillId="14" borderId="15" xfId="0" applyNumberFormat="1" applyFont="1" applyFill="1" applyBorder="1" applyAlignment="1">
      <alignment horizontal="center" vertical="center"/>
    </xf>
    <xf numFmtId="0" fontId="8" fillId="14" borderId="15" xfId="0" applyFont="1" applyFill="1" applyBorder="1" applyAlignment="1">
      <alignment horizontal="center" vertical="center"/>
    </xf>
    <xf numFmtId="0" fontId="8" fillId="14" borderId="37" xfId="0" applyFont="1" applyFill="1" applyBorder="1" applyAlignment="1">
      <alignment horizontal="center" vertical="center"/>
    </xf>
    <xf numFmtId="0" fontId="13" fillId="10" borderId="21" xfId="0" applyFont="1" applyFill="1" applyBorder="1" applyAlignment="1">
      <alignment horizontal="center" vertical="center" wrapText="1"/>
    </xf>
    <xf numFmtId="0" fontId="13" fillId="10" borderId="29" xfId="0" applyFont="1" applyFill="1" applyBorder="1" applyAlignment="1">
      <alignment horizontal="center" vertical="center" wrapText="1"/>
    </xf>
    <xf numFmtId="0" fontId="13" fillId="10" borderId="24" xfId="0" applyFont="1" applyFill="1" applyBorder="1" applyAlignment="1">
      <alignment horizontal="center" vertical="center" wrapText="1"/>
    </xf>
    <xf numFmtId="0" fontId="13" fillId="10" borderId="44" xfId="0" applyFont="1" applyFill="1" applyBorder="1" applyAlignment="1">
      <alignment horizontal="center" vertical="center" wrapText="1"/>
    </xf>
    <xf numFmtId="165" fontId="13" fillId="10" borderId="42" xfId="0" applyNumberFormat="1" applyFont="1" applyFill="1" applyBorder="1" applyAlignment="1">
      <alignment horizontal="center" vertical="center"/>
    </xf>
    <xf numFmtId="165" fontId="13" fillId="10" borderId="1" xfId="0" applyNumberFormat="1" applyFont="1" applyFill="1" applyBorder="1" applyAlignment="1">
      <alignment horizontal="center" vertical="center"/>
    </xf>
    <xf numFmtId="0" fontId="13" fillId="10" borderId="30" xfId="0" applyFont="1" applyFill="1" applyBorder="1" applyAlignment="1">
      <alignment horizontal="right" vertical="center" wrapText="1"/>
    </xf>
    <xf numFmtId="0" fontId="13" fillId="10" borderId="31" xfId="0" applyFont="1" applyFill="1" applyBorder="1" applyAlignment="1">
      <alignment horizontal="right" vertical="center" wrapText="1"/>
    </xf>
    <xf numFmtId="0" fontId="13" fillId="10" borderId="32" xfId="0" applyFont="1" applyFill="1" applyBorder="1" applyAlignment="1">
      <alignment horizontal="right" vertical="center" wrapText="1"/>
    </xf>
    <xf numFmtId="0" fontId="13" fillId="10" borderId="33" xfId="0" applyFont="1" applyFill="1" applyBorder="1" applyAlignment="1">
      <alignment horizontal="right" vertical="center" wrapText="1"/>
    </xf>
    <xf numFmtId="165" fontId="13" fillId="10" borderId="11" xfId="0" applyNumberFormat="1" applyFont="1" applyFill="1" applyBorder="1" applyAlignment="1">
      <alignment horizontal="center" vertical="center"/>
    </xf>
    <xf numFmtId="165" fontId="13" fillId="10" borderId="2" xfId="0" applyNumberFormat="1" applyFont="1" applyFill="1" applyBorder="1" applyAlignment="1">
      <alignment horizontal="center" vertical="center"/>
    </xf>
    <xf numFmtId="170" fontId="13" fillId="10" borderId="11" xfId="0" applyNumberFormat="1" applyFont="1" applyFill="1" applyBorder="1" applyAlignment="1">
      <alignment horizontal="center" vertical="center"/>
    </xf>
    <xf numFmtId="170" fontId="13" fillId="10" borderId="2" xfId="0" applyNumberFormat="1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right" vertical="top" wrapText="1"/>
    </xf>
    <xf numFmtId="0" fontId="6" fillId="9" borderId="9" xfId="0" applyFont="1" applyFill="1" applyBorder="1" applyAlignment="1">
      <alignment horizontal="right" vertical="top" wrapText="1"/>
    </xf>
    <xf numFmtId="165" fontId="51" fillId="9" borderId="0" xfId="0" applyNumberFormat="1" applyFont="1" applyFill="1" applyAlignment="1">
      <alignment horizontal="center" vertical="center"/>
    </xf>
    <xf numFmtId="165" fontId="51" fillId="9" borderId="4" xfId="0" applyNumberFormat="1" applyFont="1" applyFill="1" applyBorder="1" applyAlignment="1">
      <alignment horizontal="center" vertical="center"/>
    </xf>
    <xf numFmtId="165" fontId="6" fillId="9" borderId="9" xfId="0" applyNumberFormat="1" applyFont="1" applyFill="1" applyBorder="1" applyAlignment="1">
      <alignment horizontal="left" vertical="top"/>
    </xf>
    <xf numFmtId="165" fontId="6" fillId="9" borderId="45" xfId="0" applyNumberFormat="1" applyFont="1" applyFill="1" applyBorder="1" applyAlignment="1">
      <alignment horizontal="left" vertical="top"/>
    </xf>
    <xf numFmtId="165" fontId="8" fillId="9" borderId="0" xfId="0" applyNumberFormat="1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 wrapText="1"/>
    </xf>
    <xf numFmtId="0" fontId="13" fillId="10" borderId="28" xfId="0" applyFont="1" applyFill="1" applyBorder="1" applyAlignment="1">
      <alignment horizontal="right" vertical="center" wrapText="1"/>
    </xf>
    <xf numFmtId="0" fontId="13" fillId="10" borderId="29" xfId="0" applyFont="1" applyFill="1" applyBorder="1" applyAlignment="1">
      <alignment horizontal="right" vertical="center" wrapText="1"/>
    </xf>
    <xf numFmtId="14" fontId="8" fillId="9" borderId="0" xfId="0" applyNumberFormat="1" applyFont="1" applyFill="1" applyAlignment="1">
      <alignment horizontal="left" vertical="center" wrapText="1"/>
    </xf>
    <xf numFmtId="0" fontId="8" fillId="9" borderId="0" xfId="0" applyFont="1" applyFill="1" applyAlignment="1">
      <alignment horizontal="left" vertical="center" wrapText="1"/>
    </xf>
    <xf numFmtId="165" fontId="13" fillId="9" borderId="11" xfId="0" applyNumberFormat="1" applyFont="1" applyFill="1" applyBorder="1" applyAlignment="1" applyProtection="1">
      <alignment horizontal="center" vertical="center"/>
      <protection locked="0"/>
    </xf>
    <xf numFmtId="165" fontId="13" fillId="9" borderId="2" xfId="0" applyNumberFormat="1" applyFont="1" applyFill="1" applyBorder="1" applyAlignment="1" applyProtection="1">
      <alignment horizontal="center" vertical="center"/>
      <protection locked="0"/>
    </xf>
    <xf numFmtId="165" fontId="8" fillId="10" borderId="34" xfId="0" applyNumberFormat="1" applyFont="1" applyFill="1" applyBorder="1" applyAlignment="1">
      <alignment horizontal="center" vertical="center"/>
    </xf>
    <xf numFmtId="165" fontId="8" fillId="10" borderId="3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top" wrapText="1"/>
    </xf>
    <xf numFmtId="0" fontId="8" fillId="9" borderId="9" xfId="0" applyFont="1" applyFill="1" applyBorder="1" applyAlignment="1">
      <alignment horizontal="center" vertical="top" wrapText="1"/>
    </xf>
    <xf numFmtId="0" fontId="8" fillId="9" borderId="45" xfId="0" applyFont="1" applyFill="1" applyBorder="1" applyAlignment="1">
      <alignment horizontal="center" vertical="top" wrapText="1"/>
    </xf>
    <xf numFmtId="0" fontId="6" fillId="9" borderId="5" xfId="0" applyFont="1" applyFill="1" applyBorder="1" applyAlignment="1">
      <alignment horizontal="right" vertical="center" wrapText="1"/>
    </xf>
    <xf numFmtId="0" fontId="6" fillId="9" borderId="0" xfId="0" applyFont="1" applyFill="1" applyAlignment="1">
      <alignment horizontal="right" vertical="center" wrapText="1"/>
    </xf>
    <xf numFmtId="0" fontId="28" fillId="9" borderId="0" xfId="0" applyFont="1" applyFill="1" applyAlignment="1">
      <alignment horizontal="center" vertical="center" wrapText="1"/>
    </xf>
    <xf numFmtId="0" fontId="8" fillId="9" borderId="0" xfId="0" applyFont="1" applyFill="1" applyAlignment="1" applyProtection="1">
      <alignment horizontal="center" vertical="center" wrapText="1"/>
      <protection locked="0"/>
    </xf>
    <xf numFmtId="0" fontId="12" fillId="9" borderId="0" xfId="0" applyFont="1" applyFill="1" applyAlignment="1">
      <alignment horizontal="left" vertical="center" wrapText="1"/>
    </xf>
    <xf numFmtId="0" fontId="13" fillId="9" borderId="0" xfId="0" applyFont="1" applyFill="1" applyAlignment="1">
      <alignment horizontal="left" vertical="center" wrapText="1"/>
    </xf>
    <xf numFmtId="49" fontId="65" fillId="0" borderId="11" xfId="16" applyNumberFormat="1" applyFont="1" applyBorder="1" applyAlignment="1" applyProtection="1">
      <alignment horizontal="left" vertical="center"/>
      <protection hidden="1"/>
    </xf>
    <xf numFmtId="49" fontId="66" fillId="0" borderId="11" xfId="16" applyNumberFormat="1" applyFont="1" applyBorder="1" applyAlignment="1" applyProtection="1">
      <alignment horizontal="left" vertical="center"/>
      <protection hidden="1"/>
    </xf>
    <xf numFmtId="49" fontId="32" fillId="10" borderId="11" xfId="16" applyNumberFormat="1" applyFont="1" applyFill="1" applyBorder="1" applyAlignment="1" applyProtection="1">
      <alignment horizontal="center" vertical="center"/>
      <protection hidden="1"/>
    </xf>
    <xf numFmtId="49" fontId="65" fillId="10" borderId="11" xfId="16" applyNumberFormat="1" applyFont="1" applyFill="1" applyBorder="1" applyAlignment="1" applyProtection="1">
      <alignment horizontal="center" vertical="center"/>
      <protection hidden="1"/>
    </xf>
    <xf numFmtId="49" fontId="69" fillId="16" borderId="11" xfId="16" applyNumberFormat="1" applyFont="1" applyFill="1" applyBorder="1" applyAlignment="1" applyProtection="1">
      <alignment horizontal="center" vertical="center"/>
      <protection hidden="1"/>
    </xf>
    <xf numFmtId="49" fontId="70" fillId="10" borderId="11" xfId="16" applyNumberFormat="1" applyFont="1" applyFill="1" applyBorder="1" applyAlignment="1" applyProtection="1">
      <alignment horizontal="left" vertical="center"/>
      <protection hidden="1"/>
    </xf>
    <xf numFmtId="49" fontId="65" fillId="0" borderId="14" xfId="16" applyNumberFormat="1" applyFont="1" applyBorder="1" applyAlignment="1" applyProtection="1">
      <alignment horizontal="center" vertical="center"/>
      <protection hidden="1"/>
    </xf>
    <xf numFmtId="49" fontId="65" fillId="0" borderId="33" xfId="16" applyNumberFormat="1" applyFont="1" applyBorder="1" applyAlignment="1" applyProtection="1">
      <alignment horizontal="center" vertical="center"/>
      <protection hidden="1"/>
    </xf>
    <xf numFmtId="49" fontId="65" fillId="0" borderId="23" xfId="16" applyNumberFormat="1" applyFont="1" applyBorder="1" applyAlignment="1" applyProtection="1">
      <alignment horizontal="center" vertical="center"/>
      <protection hidden="1"/>
    </xf>
  </cellXfs>
  <cellStyles count="22">
    <cellStyle name="Accent" xfId="1"/>
    <cellStyle name="Accent 1" xfId="2"/>
    <cellStyle name="Accent 2" xfId="3"/>
    <cellStyle name="Accent 3" xfId="4"/>
    <cellStyle name="Bad 2" xfId="5"/>
    <cellStyle name="Comma 2" xfId="6"/>
    <cellStyle name="Error" xfId="7"/>
    <cellStyle name="Footnote" xfId="8"/>
    <cellStyle name="Good 2" xfId="9"/>
    <cellStyle name="Heading" xfId="10"/>
    <cellStyle name="Heading 1 2" xfId="11"/>
    <cellStyle name="Heading 2 2" xfId="12"/>
    <cellStyle name="Hyperlink" xfId="13" builtinId="8"/>
    <cellStyle name="Hyperlink 2" xfId="14"/>
    <cellStyle name="Neutral 2" xfId="15"/>
    <cellStyle name="Normal" xfId="0" builtinId="0"/>
    <cellStyle name="Normal 2" xfId="16"/>
    <cellStyle name="Note 2" xfId="17"/>
    <cellStyle name="Percent 2" xfId="18"/>
    <cellStyle name="Status" xfId="19"/>
    <cellStyle name="Text" xfId="20"/>
    <cellStyle name="Warning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148085</xdr:colOff>
      <xdr:row>32</xdr:row>
      <xdr:rowOff>454272</xdr:rowOff>
    </xdr:from>
    <xdr:to>
      <xdr:col>2</xdr:col>
      <xdr:colOff>51030</xdr:colOff>
      <xdr:row>32</xdr:row>
      <xdr:rowOff>454272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BC816D50-FCE5-4ECC-8A7F-FFFAC699B266}"/>
            </a:ext>
          </a:extLst>
        </xdr:cNvPr>
        <xdr:cNvCxnSpPr/>
      </xdr:nvCxnSpPr>
      <xdr:spPr>
        <a:xfrm>
          <a:off x="148085" y="8400127"/>
          <a:ext cx="100584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194682</xdr:colOff>
      <xdr:row>32</xdr:row>
      <xdr:rowOff>468809</xdr:rowOff>
    </xdr:from>
    <xdr:to>
      <xdr:col>11</xdr:col>
      <xdr:colOff>237996</xdr:colOff>
      <xdr:row>32</xdr:row>
      <xdr:rowOff>468809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AB2D16B3-14DB-41DE-A2E9-63CD73F2789C}"/>
            </a:ext>
          </a:extLst>
        </xdr:cNvPr>
        <xdr:cNvCxnSpPr/>
      </xdr:nvCxnSpPr>
      <xdr:spPr>
        <a:xfrm>
          <a:off x="5390093" y="8374559"/>
          <a:ext cx="1007721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373965</xdr:colOff>
      <xdr:row>44</xdr:row>
      <xdr:rowOff>21981</xdr:rowOff>
    </xdr:from>
    <xdr:to>
      <xdr:col>11</xdr:col>
      <xdr:colOff>286628</xdr:colOff>
      <xdr:row>44</xdr:row>
      <xdr:rowOff>21981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990CDEA1-9FDC-447E-961E-CDFF96D49937}"/>
            </a:ext>
          </a:extLst>
        </xdr:cNvPr>
        <xdr:cNvCxnSpPr/>
      </xdr:nvCxnSpPr>
      <xdr:spPr>
        <a:xfrm>
          <a:off x="4520710" y="10191750"/>
          <a:ext cx="192024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hreejicorporations.in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J34"/>
  <sheetViews>
    <sheetView view="pageBreakPreview" topLeftCell="A8" zoomScaleNormal="100" zoomScaleSheetLayoutView="100" workbookViewId="0">
      <selection activeCell="J30" sqref="J30:K30"/>
    </sheetView>
  </sheetViews>
  <sheetFormatPr defaultColWidth="9.109375" defaultRowHeight="22.8"/>
  <cols>
    <col min="1" max="1" width="4.33203125" style="43" customWidth="1"/>
    <col min="2" max="2" width="9.88671875" style="43" customWidth="1"/>
    <col min="3" max="3" width="9.109375" style="43" customWidth="1"/>
    <col min="4" max="4" width="8.6640625" style="43" customWidth="1"/>
    <col min="5" max="5" width="8.109375" style="43" bestFit="1" customWidth="1"/>
    <col min="6" max="6" width="7.88671875" style="43" bestFit="1" customWidth="1"/>
    <col min="7" max="7" width="6.6640625" style="43" customWidth="1"/>
    <col min="8" max="8" width="2.109375" style="43" customWidth="1"/>
    <col min="9" max="9" width="7.44140625" style="43" customWidth="1"/>
    <col min="10" max="10" width="7.88671875" style="43" customWidth="1"/>
    <col min="11" max="12" width="6" style="43" customWidth="1"/>
    <col min="13" max="13" width="10.44140625" style="43" customWidth="1"/>
    <col min="14" max="14" width="8" style="43" customWidth="1"/>
    <col min="15" max="15" width="8.88671875" style="43" customWidth="1"/>
    <col min="16" max="16" width="8.6640625" style="43" customWidth="1"/>
    <col min="17" max="17" width="7.44140625" style="43" customWidth="1"/>
    <col min="18" max="18" width="7" style="43" customWidth="1"/>
    <col min="19" max="19" width="5.6640625" style="43" customWidth="1"/>
    <col min="20" max="20" width="4.5546875" style="43" customWidth="1"/>
    <col min="21" max="22" width="9.109375" style="43" hidden="1" customWidth="1"/>
    <col min="23" max="23" width="3.88671875" style="43" hidden="1" customWidth="1"/>
    <col min="24" max="25" width="9.109375" style="43" hidden="1" customWidth="1"/>
    <col min="26" max="26" width="11.33203125" style="43" hidden="1" customWidth="1"/>
    <col min="27" max="27" width="13.6640625" style="43" hidden="1" customWidth="1"/>
    <col min="28" max="45" width="9.109375" style="43" hidden="1" customWidth="1"/>
    <col min="46" max="46" width="13.33203125" style="47" hidden="1" customWidth="1"/>
    <col min="47" max="47" width="11.44140625" style="47" hidden="1" customWidth="1"/>
    <col min="48" max="62" width="0" style="47" hidden="1" customWidth="1"/>
    <col min="63" max="63" width="0" style="43" hidden="1" customWidth="1"/>
    <col min="64" max="16384" width="9.109375" style="43"/>
  </cols>
  <sheetData>
    <row r="1" spans="1:62" ht="27.6" customHeight="1">
      <c r="A1" s="168" t="s">
        <v>88</v>
      </c>
      <c r="B1" s="169"/>
      <c r="C1" s="169"/>
      <c r="D1" s="169"/>
      <c r="E1" s="169"/>
      <c r="F1" s="169"/>
      <c r="G1" s="169"/>
      <c r="H1" s="169"/>
      <c r="I1" s="169"/>
      <c r="J1" s="169"/>
      <c r="K1" s="166" t="s">
        <v>2</v>
      </c>
      <c r="L1" s="166"/>
      <c r="M1" s="166"/>
      <c r="N1" s="166"/>
      <c r="O1" s="166"/>
      <c r="P1" s="166"/>
      <c r="Q1" s="166"/>
      <c r="R1" s="166"/>
      <c r="S1" s="166"/>
      <c r="T1" s="167"/>
    </row>
    <row r="2" spans="1:62" ht="15" customHeight="1" thickBot="1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2" t="s">
        <v>134</v>
      </c>
      <c r="L2" s="172"/>
      <c r="M2" s="172"/>
      <c r="N2" s="172"/>
      <c r="O2" s="172"/>
      <c r="P2" s="172"/>
      <c r="Q2" s="172"/>
      <c r="R2" s="172"/>
      <c r="S2" s="172"/>
      <c r="T2" s="173"/>
    </row>
    <row r="3" spans="1:62" s="44" customFormat="1" ht="19.5" customHeight="1" thickBot="1">
      <c r="A3" s="178" t="s">
        <v>141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80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</row>
    <row r="4" spans="1:62" s="44" customFormat="1" ht="18.75" customHeight="1">
      <c r="A4" s="181" t="s">
        <v>0</v>
      </c>
      <c r="B4" s="175"/>
      <c r="C4" s="175"/>
      <c r="D4" s="175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5" t="s">
        <v>4</v>
      </c>
      <c r="P4" s="175"/>
      <c r="Q4" s="175"/>
      <c r="R4" s="176"/>
      <c r="S4" s="176"/>
      <c r="T4" s="177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</row>
    <row r="5" spans="1:62" s="44" customFormat="1" ht="18.75" customHeight="1">
      <c r="A5" s="182" t="s">
        <v>1</v>
      </c>
      <c r="B5" s="183"/>
      <c r="C5" s="183"/>
      <c r="D5" s="183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3" t="s">
        <v>3</v>
      </c>
      <c r="P5" s="183"/>
      <c r="Q5" s="183"/>
      <c r="R5" s="136"/>
      <c r="S5" s="184"/>
      <c r="T5" s="185"/>
      <c r="AR5" s="45">
        <f ca="1">AR5</f>
        <v>0</v>
      </c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</row>
    <row r="6" spans="1:62" ht="18.75" customHeight="1">
      <c r="A6" s="134" t="s">
        <v>5</v>
      </c>
      <c r="B6" s="135"/>
      <c r="C6" s="135"/>
      <c r="D6" s="135"/>
      <c r="E6" s="136"/>
      <c r="F6" s="136"/>
      <c r="G6" s="136"/>
      <c r="H6" s="137" t="s">
        <v>6</v>
      </c>
      <c r="I6" s="137"/>
      <c r="J6" s="137"/>
      <c r="K6" s="137"/>
      <c r="L6" s="138"/>
      <c r="M6" s="138"/>
      <c r="N6" s="138"/>
      <c r="O6" s="137" t="s">
        <v>7</v>
      </c>
      <c r="P6" s="137"/>
      <c r="Q6" s="137"/>
      <c r="R6" s="136"/>
      <c r="S6" s="136"/>
      <c r="T6" s="139"/>
      <c r="AA6" s="46" t="str">
        <f>S8</f>
        <v>YES</v>
      </c>
      <c r="AQ6" s="45" t="s">
        <v>109</v>
      </c>
      <c r="AR6" s="46">
        <f>Z7</f>
        <v>0</v>
      </c>
      <c r="AS6" s="46">
        <f>VLOOKUP("MARCH",AQ1:AS23,2,0)</f>
        <v>0</v>
      </c>
    </row>
    <row r="7" spans="1:62" ht="18.75" customHeight="1">
      <c r="A7" s="142" t="s">
        <v>8</v>
      </c>
      <c r="B7" s="137"/>
      <c r="C7" s="137"/>
      <c r="D7" s="143"/>
      <c r="E7" s="143"/>
      <c r="F7" s="143"/>
      <c r="G7" s="109" t="s">
        <v>9</v>
      </c>
      <c r="H7" s="143"/>
      <c r="I7" s="143"/>
      <c r="J7" s="143"/>
      <c r="K7" s="144" t="s">
        <v>10</v>
      </c>
      <c r="L7" s="144"/>
      <c r="M7" s="148"/>
      <c r="N7" s="149"/>
      <c r="O7" s="149"/>
      <c r="P7" s="150" t="s">
        <v>11</v>
      </c>
      <c r="Q7" s="150"/>
      <c r="R7" s="151"/>
      <c r="S7" s="151"/>
      <c r="T7" s="152"/>
      <c r="Z7" s="47">
        <v>0</v>
      </c>
      <c r="AQ7" s="39" t="s">
        <v>110</v>
      </c>
      <c r="AR7" s="40">
        <f>AS6</f>
        <v>0</v>
      </c>
      <c r="AS7" s="40">
        <f>VLOOKUP("APRIL",AQ1:AS26,2,0)</f>
        <v>0</v>
      </c>
    </row>
    <row r="8" spans="1:62" ht="17.25" customHeight="1" thickBot="1">
      <c r="A8" s="145" t="s">
        <v>90</v>
      </c>
      <c r="B8" s="146"/>
      <c r="C8" s="147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2" t="s">
        <v>115</v>
      </c>
      <c r="Q8" s="162"/>
      <c r="R8" s="162"/>
      <c r="S8" s="160" t="s">
        <v>128</v>
      </c>
      <c r="T8" s="161"/>
      <c r="Z8" s="41"/>
      <c r="AA8" s="41" t="s">
        <v>117</v>
      </c>
      <c r="AB8" s="41" t="s">
        <v>118</v>
      </c>
      <c r="AC8" s="41" t="s">
        <v>105</v>
      </c>
      <c r="AD8" s="41" t="s">
        <v>119</v>
      </c>
      <c r="AE8" s="41" t="s">
        <v>120</v>
      </c>
      <c r="AF8" s="41" t="s">
        <v>121</v>
      </c>
      <c r="AG8" s="41" t="s">
        <v>122</v>
      </c>
      <c r="AH8" s="41" t="s">
        <v>123</v>
      </c>
      <c r="AI8" s="41" t="s">
        <v>124</v>
      </c>
      <c r="AJ8" s="41" t="s">
        <v>125</v>
      </c>
      <c r="AK8" s="41" t="s">
        <v>126</v>
      </c>
      <c r="AL8" s="41" t="s">
        <v>127</v>
      </c>
      <c r="AQ8" s="39" t="s">
        <v>105</v>
      </c>
      <c r="AR8" s="40">
        <f t="shared" ref="AR8:AR17" si="0">AS7</f>
        <v>0</v>
      </c>
      <c r="AS8" s="40">
        <f>VLOOKUP("MAY",AQ1:AS27,2,0)</f>
        <v>0</v>
      </c>
    </row>
    <row r="9" spans="1:62" ht="17.25" customHeight="1" thickBot="1">
      <c r="A9" s="153" t="s">
        <v>20</v>
      </c>
      <c r="B9" s="154"/>
      <c r="C9" s="154"/>
      <c r="D9" s="154"/>
      <c r="E9" s="154"/>
      <c r="F9" s="154"/>
      <c r="G9" s="154"/>
      <c r="H9" s="154"/>
      <c r="I9" s="154"/>
      <c r="J9" s="154"/>
      <c r="K9" s="155"/>
      <c r="L9" s="156" t="s">
        <v>21</v>
      </c>
      <c r="M9" s="157"/>
      <c r="N9" s="157"/>
      <c r="O9" s="157"/>
      <c r="P9" s="157"/>
      <c r="Q9" s="157"/>
      <c r="R9" s="157"/>
      <c r="S9" s="157"/>
      <c r="T9" s="158"/>
      <c r="Z9" s="41" t="s">
        <v>128</v>
      </c>
      <c r="AA9" s="41">
        <f>ROUND((0.1*Z11),0)</f>
        <v>0</v>
      </c>
      <c r="AB9" s="41">
        <f>ROUND((0.1*Z12),0)</f>
        <v>0</v>
      </c>
      <c r="AC9" s="41">
        <f>ROUND((0.1*Z13),0)</f>
        <v>0</v>
      </c>
      <c r="AD9" s="41">
        <f>ROUND((0.1*Z14),0)</f>
        <v>0</v>
      </c>
      <c r="AE9" s="41">
        <f>ROUND((0.1*Z15),0)</f>
        <v>0</v>
      </c>
      <c r="AF9" s="41">
        <f>ROUND((0.1*Z16),0)</f>
        <v>0</v>
      </c>
      <c r="AG9" s="41">
        <f>ROUND((0.1*Z17),0)</f>
        <v>0</v>
      </c>
      <c r="AH9" s="41">
        <f>ROUND((0.1*Z18),0)</f>
        <v>0</v>
      </c>
      <c r="AI9" s="41">
        <f>ROUND((0.1*Z19),0)</f>
        <v>0</v>
      </c>
      <c r="AJ9" s="41">
        <f>ROUND((0.1*Z20),0)</f>
        <v>0</v>
      </c>
      <c r="AK9" s="41">
        <f>ROUND((0.1*Z21),0)</f>
        <v>0</v>
      </c>
      <c r="AL9" s="41">
        <f>ROUND((0.1*Z22),0)</f>
        <v>0</v>
      </c>
      <c r="AQ9" s="39" t="s">
        <v>101</v>
      </c>
      <c r="AR9" s="40">
        <f t="shared" si="0"/>
        <v>0</v>
      </c>
      <c r="AS9" s="40">
        <f>VLOOKUP("JUNE",AQ1:AS28,2,0)</f>
        <v>0</v>
      </c>
    </row>
    <row r="10" spans="1:62" s="48" customFormat="1" ht="29.25" customHeight="1" thickBot="1">
      <c r="A10" s="103" t="s">
        <v>12</v>
      </c>
      <c r="B10" s="104" t="s">
        <v>13</v>
      </c>
      <c r="C10" s="104" t="s">
        <v>14</v>
      </c>
      <c r="D10" s="104" t="s">
        <v>15</v>
      </c>
      <c r="E10" s="104" t="s">
        <v>16</v>
      </c>
      <c r="F10" s="104" t="s">
        <v>17</v>
      </c>
      <c r="G10" s="164" t="s">
        <v>18</v>
      </c>
      <c r="H10" s="165"/>
      <c r="I10" s="104" t="s">
        <v>19</v>
      </c>
      <c r="J10" s="140" t="s">
        <v>26</v>
      </c>
      <c r="K10" s="141"/>
      <c r="L10" s="103" t="s">
        <v>129</v>
      </c>
      <c r="M10" s="104" t="s">
        <v>25</v>
      </c>
      <c r="N10" s="104" t="s">
        <v>22</v>
      </c>
      <c r="O10" s="104" t="s">
        <v>23</v>
      </c>
      <c r="P10" s="104" t="s">
        <v>114</v>
      </c>
      <c r="Q10" s="104" t="s">
        <v>91</v>
      </c>
      <c r="R10" s="104" t="s">
        <v>19</v>
      </c>
      <c r="S10" s="140" t="s">
        <v>26</v>
      </c>
      <c r="T10" s="159"/>
      <c r="Z10" s="41" t="s">
        <v>116</v>
      </c>
      <c r="AA10" s="49">
        <f>AS6</f>
        <v>0</v>
      </c>
      <c r="AB10" s="41">
        <f>AS6</f>
        <v>0</v>
      </c>
      <c r="AC10" s="48">
        <f>AS7</f>
        <v>0</v>
      </c>
      <c r="AD10" s="41">
        <f>AS8</f>
        <v>0</v>
      </c>
      <c r="AE10" s="41">
        <f>AS9</f>
        <v>0</v>
      </c>
      <c r="AF10" s="41">
        <f>AS10</f>
        <v>0</v>
      </c>
      <c r="AG10" s="41">
        <f>AS12</f>
        <v>0</v>
      </c>
      <c r="AH10" s="41">
        <f>AS13</f>
        <v>0</v>
      </c>
      <c r="AI10" s="41">
        <f>AS14</f>
        <v>0</v>
      </c>
      <c r="AJ10" s="41">
        <f>AS15</f>
        <v>0</v>
      </c>
      <c r="AK10" s="41">
        <f>AS16</f>
        <v>0</v>
      </c>
      <c r="AL10" s="41">
        <f>AS17</f>
        <v>0</v>
      </c>
      <c r="AQ10" s="39" t="s">
        <v>102</v>
      </c>
      <c r="AR10" s="40">
        <f>AS9</f>
        <v>0</v>
      </c>
      <c r="AS10" s="40">
        <f>VLOOKUP("JULY",AQ1:AS29,2,0)</f>
        <v>0</v>
      </c>
    </row>
    <row r="11" spans="1:62" ht="15.75" customHeight="1">
      <c r="A11" s="95">
        <v>1</v>
      </c>
      <c r="B11" s="96" t="s">
        <v>142</v>
      </c>
      <c r="C11" s="127">
        <v>0</v>
      </c>
      <c r="D11" s="126">
        <f>ROUND(C11*34%,0)</f>
        <v>0</v>
      </c>
      <c r="E11" s="72">
        <v>0</v>
      </c>
      <c r="F11" s="73">
        <v>0</v>
      </c>
      <c r="G11" s="265">
        <v>0</v>
      </c>
      <c r="H11" s="266"/>
      <c r="I11" s="72"/>
      <c r="J11" s="191">
        <f>SUM(C11:I11)</f>
        <v>0</v>
      </c>
      <c r="K11" s="192"/>
      <c r="L11" s="128">
        <v>0</v>
      </c>
      <c r="M11" s="129">
        <v>0</v>
      </c>
      <c r="N11" s="74">
        <v>0</v>
      </c>
      <c r="O11" s="72">
        <v>0</v>
      </c>
      <c r="P11" s="91">
        <f>AB15</f>
        <v>0</v>
      </c>
      <c r="Q11" s="75">
        <v>0</v>
      </c>
      <c r="R11" s="75">
        <v>0</v>
      </c>
      <c r="S11" s="189">
        <f>SUM(L11:R11)</f>
        <v>0</v>
      </c>
      <c r="T11" s="190"/>
      <c r="U11" s="50"/>
      <c r="V11" s="51" t="s">
        <v>109</v>
      </c>
      <c r="W11" s="52"/>
      <c r="X11" s="53">
        <f>C11</f>
        <v>0</v>
      </c>
      <c r="Y11" s="37">
        <f>VLOOKUP("MARCH",V6:X28,3,0)</f>
        <v>0</v>
      </c>
      <c r="Z11" s="54">
        <f>SUM(D11,C11)</f>
        <v>0</v>
      </c>
      <c r="AA11" s="55"/>
      <c r="AB11" s="56"/>
      <c r="AC11" s="57"/>
      <c r="AD11" s="57"/>
      <c r="AE11" s="58"/>
      <c r="AF11" s="58"/>
      <c r="AG11" s="58"/>
      <c r="AH11" s="58"/>
      <c r="AI11" s="58"/>
      <c r="AJ11" s="58"/>
      <c r="AK11" s="58"/>
      <c r="AQ11" s="39" t="s">
        <v>103</v>
      </c>
      <c r="AR11" s="40">
        <f t="shared" si="0"/>
        <v>0</v>
      </c>
      <c r="AS11" s="40">
        <f>VLOOKUP("AUGUST",AQ1:AS30,2,0)</f>
        <v>0</v>
      </c>
    </row>
    <row r="12" spans="1:62" ht="15.75" customHeight="1">
      <c r="A12" s="97">
        <v>2</v>
      </c>
      <c r="B12" s="98" t="s">
        <v>143</v>
      </c>
      <c r="C12" s="127">
        <f>C11</f>
        <v>0</v>
      </c>
      <c r="D12" s="126">
        <f>ROUND(C12*34%,0)</f>
        <v>0</v>
      </c>
      <c r="E12" s="118">
        <f>E11</f>
        <v>0</v>
      </c>
      <c r="F12" s="123">
        <f>F11</f>
        <v>0</v>
      </c>
      <c r="G12" s="212">
        <f>G11</f>
        <v>0</v>
      </c>
      <c r="H12" s="213"/>
      <c r="I12" s="72"/>
      <c r="J12" s="193">
        <f t="shared" ref="J12:J22" si="1">SUM(C12:I12)</f>
        <v>0</v>
      </c>
      <c r="K12" s="194"/>
      <c r="L12" s="130">
        <f>L11</f>
        <v>0</v>
      </c>
      <c r="M12" s="131">
        <f>M11</f>
        <v>0</v>
      </c>
      <c r="N12" s="124">
        <f>N11</f>
        <v>0</v>
      </c>
      <c r="O12" s="85">
        <f>O11</f>
        <v>0</v>
      </c>
      <c r="P12" s="71">
        <f>AB16</f>
        <v>0</v>
      </c>
      <c r="Q12" s="85">
        <f>Q11</f>
        <v>0</v>
      </c>
      <c r="R12" s="86">
        <f>R11</f>
        <v>0</v>
      </c>
      <c r="S12" s="187">
        <f t="shared" ref="S12:S22" si="2">SUM(L12:R12)</f>
        <v>0</v>
      </c>
      <c r="T12" s="188"/>
      <c r="U12" s="50"/>
      <c r="V12" s="38" t="s">
        <v>110</v>
      </c>
      <c r="W12" s="52"/>
      <c r="X12" s="37">
        <f>Y11</f>
        <v>0</v>
      </c>
      <c r="Y12" s="37">
        <f>VLOOKUP("APRIL",V6:X28,3,0)</f>
        <v>0</v>
      </c>
      <c r="Z12" s="54">
        <f t="shared" ref="Z12:Z22" si="3">SUM(D12,C12)</f>
        <v>0</v>
      </c>
      <c r="AA12" s="55"/>
      <c r="AB12" s="56"/>
      <c r="AC12" s="57"/>
      <c r="AD12" s="57"/>
      <c r="AE12" s="58"/>
      <c r="AF12" s="58"/>
      <c r="AG12" s="58"/>
      <c r="AH12" s="58"/>
      <c r="AI12" s="58"/>
      <c r="AJ12" s="58"/>
      <c r="AK12" s="58"/>
      <c r="AQ12" s="39" t="s">
        <v>104</v>
      </c>
      <c r="AR12" s="40">
        <f>AS11</f>
        <v>0</v>
      </c>
      <c r="AS12" s="40">
        <f>VLOOKUP("SEPTEMBER",AQ1:AS32,2,0)</f>
        <v>0</v>
      </c>
    </row>
    <row r="13" spans="1:62" ht="15.75" customHeight="1">
      <c r="A13" s="97">
        <v>3</v>
      </c>
      <c r="B13" s="98" t="s">
        <v>144</v>
      </c>
      <c r="C13" s="127">
        <f>C11</f>
        <v>0</v>
      </c>
      <c r="D13" s="126">
        <f>ROUND(C13*34%,0)</f>
        <v>0</v>
      </c>
      <c r="E13" s="118">
        <f>E12</f>
        <v>0</v>
      </c>
      <c r="F13" s="123">
        <f t="shared" ref="F13:F22" si="4">F12</f>
        <v>0</v>
      </c>
      <c r="G13" s="212">
        <f t="shared" ref="G13:G22" si="5">G12</f>
        <v>0</v>
      </c>
      <c r="H13" s="213"/>
      <c r="I13" s="72"/>
      <c r="J13" s="193">
        <f t="shared" si="1"/>
        <v>0</v>
      </c>
      <c r="K13" s="194"/>
      <c r="L13" s="130">
        <f t="shared" ref="L13:L21" si="6">L12</f>
        <v>0</v>
      </c>
      <c r="M13" s="131">
        <f t="shared" ref="M13:M22" si="7">M12</f>
        <v>0</v>
      </c>
      <c r="N13" s="124">
        <f t="shared" ref="N13:N22" si="8">N12</f>
        <v>0</v>
      </c>
      <c r="O13" s="85">
        <f t="shared" ref="O13:O22" si="9">O12</f>
        <v>0</v>
      </c>
      <c r="P13" s="71">
        <f>AB17</f>
        <v>0</v>
      </c>
      <c r="Q13" s="85">
        <f t="shared" ref="Q13:R22" si="10">Q12</f>
        <v>0</v>
      </c>
      <c r="R13" s="86">
        <f t="shared" si="10"/>
        <v>0</v>
      </c>
      <c r="S13" s="187">
        <f t="shared" si="2"/>
        <v>0</v>
      </c>
      <c r="T13" s="188"/>
      <c r="U13" s="50"/>
      <c r="V13" s="38" t="s">
        <v>105</v>
      </c>
      <c r="W13" s="52"/>
      <c r="X13" s="37">
        <f t="shared" ref="X13:X22" si="11">Y12</f>
        <v>0</v>
      </c>
      <c r="Y13" s="37">
        <f>VLOOKUP("MAY",V6:X28,3,0)</f>
        <v>0</v>
      </c>
      <c r="Z13" s="54">
        <f t="shared" si="3"/>
        <v>0</v>
      </c>
      <c r="AA13" s="55"/>
      <c r="AB13" s="56"/>
      <c r="AC13" s="57"/>
      <c r="AD13" s="57"/>
      <c r="AE13" s="58"/>
      <c r="AF13" s="58"/>
      <c r="AG13" s="58"/>
      <c r="AH13" s="58"/>
      <c r="AI13" s="58"/>
      <c r="AJ13" s="58"/>
      <c r="AK13" s="58"/>
      <c r="AQ13" s="39" t="s">
        <v>106</v>
      </c>
      <c r="AR13" s="40">
        <f t="shared" si="0"/>
        <v>0</v>
      </c>
      <c r="AS13" s="40">
        <f>VLOOKUP("OCTOBER",AQ1:AS33,2,0)</f>
        <v>0</v>
      </c>
      <c r="AU13" s="42">
        <f>SUM(P23+M23)</f>
        <v>0</v>
      </c>
    </row>
    <row r="14" spans="1:62" ht="15.75" customHeight="1">
      <c r="A14" s="97">
        <v>4</v>
      </c>
      <c r="B14" s="98" t="s">
        <v>145</v>
      </c>
      <c r="C14" s="127">
        <f>C11</f>
        <v>0</v>
      </c>
      <c r="D14" s="126">
        <f>ROUND(C14*42%,0)</f>
        <v>0</v>
      </c>
      <c r="E14" s="118">
        <f>E13</f>
        <v>0</v>
      </c>
      <c r="F14" s="123">
        <f t="shared" si="4"/>
        <v>0</v>
      </c>
      <c r="G14" s="212">
        <f t="shared" si="5"/>
        <v>0</v>
      </c>
      <c r="H14" s="213"/>
      <c r="I14" s="72"/>
      <c r="J14" s="193">
        <f t="shared" si="1"/>
        <v>0</v>
      </c>
      <c r="K14" s="194"/>
      <c r="L14" s="130">
        <f t="shared" si="6"/>
        <v>0</v>
      </c>
      <c r="M14" s="131">
        <f t="shared" si="7"/>
        <v>0</v>
      </c>
      <c r="N14" s="124">
        <f t="shared" si="8"/>
        <v>0</v>
      </c>
      <c r="O14" s="85">
        <f t="shared" si="9"/>
        <v>0</v>
      </c>
      <c r="P14" s="71">
        <f t="shared" ref="P14:P22" si="12">AB18</f>
        <v>0</v>
      </c>
      <c r="Q14" s="85">
        <f t="shared" si="10"/>
        <v>0</v>
      </c>
      <c r="R14" s="86">
        <f t="shared" si="10"/>
        <v>0</v>
      </c>
      <c r="S14" s="187">
        <f t="shared" si="2"/>
        <v>0</v>
      </c>
      <c r="T14" s="188"/>
      <c r="U14" s="50"/>
      <c r="V14" s="38" t="s">
        <v>101</v>
      </c>
      <c r="W14" s="52"/>
      <c r="X14" s="37">
        <f t="shared" si="11"/>
        <v>0</v>
      </c>
      <c r="Y14" s="37">
        <f>VLOOKUP("JUNE",V6:X28,3,0)</f>
        <v>0</v>
      </c>
      <c r="Z14" s="54">
        <f t="shared" si="3"/>
        <v>0</v>
      </c>
      <c r="AA14" s="55"/>
      <c r="AB14" s="56"/>
      <c r="AC14" s="57"/>
      <c r="AD14" s="57"/>
      <c r="AE14" s="58"/>
      <c r="AF14" s="58"/>
      <c r="AG14" s="58"/>
      <c r="AH14" s="58"/>
      <c r="AI14" s="58"/>
      <c r="AJ14" s="58"/>
      <c r="AK14" s="58"/>
      <c r="AQ14" s="39" t="s">
        <v>107</v>
      </c>
      <c r="AR14" s="40">
        <f>AS13</f>
        <v>0</v>
      </c>
      <c r="AS14" s="40">
        <f>VLOOKUP("NOVEMBER",AQ1:AS34,2,0)</f>
        <v>0</v>
      </c>
    </row>
    <row r="15" spans="1:62" ht="15.75" customHeight="1">
      <c r="A15" s="97">
        <v>5</v>
      </c>
      <c r="B15" s="98" t="s">
        <v>146</v>
      </c>
      <c r="C15" s="127">
        <v>0</v>
      </c>
      <c r="D15" s="126">
        <f>ROUND(C15*42%,0)</f>
        <v>0</v>
      </c>
      <c r="E15" s="119">
        <v>0</v>
      </c>
      <c r="F15" s="123">
        <f t="shared" si="4"/>
        <v>0</v>
      </c>
      <c r="G15" s="212">
        <f t="shared" si="5"/>
        <v>0</v>
      </c>
      <c r="H15" s="213"/>
      <c r="I15" s="72"/>
      <c r="J15" s="193">
        <f t="shared" si="1"/>
        <v>0</v>
      </c>
      <c r="K15" s="194"/>
      <c r="L15" s="130">
        <f t="shared" si="6"/>
        <v>0</v>
      </c>
      <c r="M15" s="131">
        <f>M14</f>
        <v>0</v>
      </c>
      <c r="N15" s="124">
        <f t="shared" si="8"/>
        <v>0</v>
      </c>
      <c r="O15" s="85">
        <f t="shared" si="9"/>
        <v>0</v>
      </c>
      <c r="P15" s="71">
        <f t="shared" si="12"/>
        <v>0</v>
      </c>
      <c r="Q15" s="85">
        <f t="shared" si="10"/>
        <v>0</v>
      </c>
      <c r="R15" s="86">
        <f t="shared" si="10"/>
        <v>0</v>
      </c>
      <c r="S15" s="187">
        <f t="shared" si="2"/>
        <v>0</v>
      </c>
      <c r="T15" s="188"/>
      <c r="U15" s="50"/>
      <c r="V15" s="38" t="s">
        <v>102</v>
      </c>
      <c r="W15" s="52"/>
      <c r="X15" s="37">
        <f>ROUND(Y14*0.03,-2)+Y14</f>
        <v>0</v>
      </c>
      <c r="Y15" s="37">
        <f>VLOOKUP("JULY",V6:X31,3,0)</f>
        <v>0</v>
      </c>
      <c r="Z15" s="54">
        <f t="shared" si="3"/>
        <v>0</v>
      </c>
      <c r="AA15" s="41" t="s">
        <v>117</v>
      </c>
      <c r="AB15" s="42">
        <f>VLOOKUP(AA6,Z9:AL10,2,0)</f>
        <v>0</v>
      </c>
      <c r="AC15" s="57"/>
      <c r="AD15" s="57"/>
      <c r="AE15" s="58"/>
      <c r="AF15" s="58"/>
      <c r="AG15" s="58"/>
      <c r="AH15" s="58"/>
      <c r="AI15" s="58"/>
      <c r="AJ15" s="58"/>
      <c r="AK15" s="58"/>
      <c r="AQ15" s="39" t="s">
        <v>108</v>
      </c>
      <c r="AR15" s="40">
        <f t="shared" si="0"/>
        <v>0</v>
      </c>
      <c r="AS15" s="40">
        <f>VLOOKUP("DECEMBER",AQ1:AS35,2,0)</f>
        <v>0</v>
      </c>
    </row>
    <row r="16" spans="1:62" ht="15.75" customHeight="1">
      <c r="A16" s="97">
        <v>6</v>
      </c>
      <c r="B16" s="98" t="s">
        <v>147</v>
      </c>
      <c r="C16" s="127">
        <f>C15</f>
        <v>0</v>
      </c>
      <c r="D16" s="126">
        <f>ROUND(C16*42%,0)</f>
        <v>0</v>
      </c>
      <c r="E16" s="118">
        <f>E15</f>
        <v>0</v>
      </c>
      <c r="F16" s="123">
        <f t="shared" si="4"/>
        <v>0</v>
      </c>
      <c r="G16" s="212">
        <f t="shared" si="5"/>
        <v>0</v>
      </c>
      <c r="H16" s="213"/>
      <c r="I16" s="72"/>
      <c r="J16" s="193">
        <f t="shared" si="1"/>
        <v>0</v>
      </c>
      <c r="K16" s="194"/>
      <c r="L16" s="130">
        <f t="shared" si="6"/>
        <v>0</v>
      </c>
      <c r="M16" s="131">
        <f t="shared" si="7"/>
        <v>0</v>
      </c>
      <c r="N16" s="124">
        <f t="shared" si="8"/>
        <v>0</v>
      </c>
      <c r="O16" s="85">
        <f t="shared" si="9"/>
        <v>0</v>
      </c>
      <c r="P16" s="71">
        <f t="shared" si="12"/>
        <v>0</v>
      </c>
      <c r="Q16" s="85">
        <f t="shared" si="10"/>
        <v>0</v>
      </c>
      <c r="R16" s="86">
        <f t="shared" si="10"/>
        <v>0</v>
      </c>
      <c r="S16" s="187">
        <f t="shared" si="2"/>
        <v>0</v>
      </c>
      <c r="T16" s="188"/>
      <c r="U16" s="50"/>
      <c r="V16" s="38" t="s">
        <v>103</v>
      </c>
      <c r="W16" s="52"/>
      <c r="X16" s="37">
        <f t="shared" si="11"/>
        <v>0</v>
      </c>
      <c r="Y16" s="37">
        <f>VLOOKUP("AUGUST",V6:X32,3,0)</f>
        <v>0</v>
      </c>
      <c r="Z16" s="54">
        <f t="shared" si="3"/>
        <v>0</v>
      </c>
      <c r="AA16" s="41" t="s">
        <v>118</v>
      </c>
      <c r="AB16" s="42">
        <f>VLOOKUP(AA6,Z9:AL10,3,0)</f>
        <v>0</v>
      </c>
      <c r="AC16" s="57"/>
      <c r="AD16" s="57"/>
      <c r="AE16" s="58"/>
      <c r="AF16" s="58"/>
      <c r="AG16" s="58"/>
      <c r="AH16" s="58"/>
      <c r="AI16" s="58"/>
      <c r="AJ16" s="58"/>
      <c r="AK16" s="58"/>
      <c r="AQ16" s="39" t="s">
        <v>111</v>
      </c>
      <c r="AR16" s="40">
        <f t="shared" si="0"/>
        <v>0</v>
      </c>
      <c r="AS16" s="40">
        <f>VLOOKUP("JANUARY",AQ1:AS36,2,0)</f>
        <v>0</v>
      </c>
    </row>
    <row r="17" spans="1:45" ht="15.75" customHeight="1">
      <c r="A17" s="97">
        <v>7</v>
      </c>
      <c r="B17" s="98" t="s">
        <v>148</v>
      </c>
      <c r="C17" s="127">
        <f>C16</f>
        <v>0</v>
      </c>
      <c r="D17" s="126">
        <f t="shared" ref="D17:D22" si="13">ROUND(C17*42%,0)</f>
        <v>0</v>
      </c>
      <c r="E17" s="118">
        <f t="shared" ref="E17:E22" si="14">E16</f>
        <v>0</v>
      </c>
      <c r="F17" s="123">
        <f t="shared" si="4"/>
        <v>0</v>
      </c>
      <c r="G17" s="212">
        <f t="shared" si="5"/>
        <v>0</v>
      </c>
      <c r="H17" s="213"/>
      <c r="I17" s="72"/>
      <c r="J17" s="193">
        <f t="shared" si="1"/>
        <v>0</v>
      </c>
      <c r="K17" s="194"/>
      <c r="L17" s="130">
        <f t="shared" si="6"/>
        <v>0</v>
      </c>
      <c r="M17" s="131">
        <f t="shared" si="7"/>
        <v>0</v>
      </c>
      <c r="N17" s="124">
        <f t="shared" si="8"/>
        <v>0</v>
      </c>
      <c r="O17" s="85">
        <f t="shared" si="9"/>
        <v>0</v>
      </c>
      <c r="P17" s="71">
        <f t="shared" si="12"/>
        <v>0</v>
      </c>
      <c r="Q17" s="85">
        <f t="shared" si="10"/>
        <v>0</v>
      </c>
      <c r="R17" s="86">
        <f t="shared" si="10"/>
        <v>0</v>
      </c>
      <c r="S17" s="187">
        <f t="shared" si="2"/>
        <v>0</v>
      </c>
      <c r="T17" s="188"/>
      <c r="U17" s="50"/>
      <c r="V17" s="38" t="s">
        <v>104</v>
      </c>
      <c r="W17" s="52"/>
      <c r="X17" s="37">
        <f>Y16</f>
        <v>0</v>
      </c>
      <c r="Y17" s="37">
        <f>VLOOKUP("SEPTEMBER",V6:X33,3,0)</f>
        <v>0</v>
      </c>
      <c r="Z17" s="54">
        <f t="shared" si="3"/>
        <v>0</v>
      </c>
      <c r="AA17" s="41" t="s">
        <v>105</v>
      </c>
      <c r="AB17" s="42">
        <f>VLOOKUP(AA6,Z9:AL10,4,0)</f>
        <v>0</v>
      </c>
      <c r="AC17" s="57"/>
      <c r="AD17" s="57"/>
      <c r="AE17" s="58"/>
      <c r="AF17" s="58"/>
      <c r="AG17" s="58"/>
      <c r="AH17" s="58"/>
      <c r="AI17" s="58"/>
      <c r="AJ17" s="58"/>
      <c r="AK17" s="58"/>
      <c r="AQ17" s="39" t="s">
        <v>112</v>
      </c>
      <c r="AR17" s="40">
        <f t="shared" si="0"/>
        <v>0</v>
      </c>
      <c r="AS17" s="40">
        <f>VLOOKUP("FEBRUARY",AQ1:AS37,2,0)</f>
        <v>0</v>
      </c>
    </row>
    <row r="18" spans="1:45" ht="15.75" customHeight="1">
      <c r="A18" s="97">
        <v>8</v>
      </c>
      <c r="B18" s="98" t="s">
        <v>149</v>
      </c>
      <c r="C18" s="127">
        <f>C17</f>
        <v>0</v>
      </c>
      <c r="D18" s="126">
        <f t="shared" si="13"/>
        <v>0</v>
      </c>
      <c r="E18" s="118">
        <f t="shared" si="14"/>
        <v>0</v>
      </c>
      <c r="F18" s="123">
        <f t="shared" si="4"/>
        <v>0</v>
      </c>
      <c r="G18" s="212">
        <f t="shared" si="5"/>
        <v>0</v>
      </c>
      <c r="H18" s="213"/>
      <c r="I18" s="72"/>
      <c r="J18" s="193">
        <f t="shared" si="1"/>
        <v>0</v>
      </c>
      <c r="K18" s="194"/>
      <c r="L18" s="130">
        <f>L17</f>
        <v>0</v>
      </c>
      <c r="M18" s="131">
        <f>M17</f>
        <v>0</v>
      </c>
      <c r="N18" s="124">
        <f t="shared" si="8"/>
        <v>0</v>
      </c>
      <c r="O18" s="85">
        <f t="shared" si="9"/>
        <v>0</v>
      </c>
      <c r="P18" s="71">
        <f t="shared" si="12"/>
        <v>0</v>
      </c>
      <c r="Q18" s="85">
        <f t="shared" si="10"/>
        <v>0</v>
      </c>
      <c r="R18" s="86">
        <f t="shared" si="10"/>
        <v>0</v>
      </c>
      <c r="S18" s="187">
        <f t="shared" si="2"/>
        <v>0</v>
      </c>
      <c r="T18" s="188"/>
      <c r="U18" s="50"/>
      <c r="V18" s="38" t="s">
        <v>106</v>
      </c>
      <c r="W18" s="52"/>
      <c r="X18" s="37">
        <f t="shared" si="11"/>
        <v>0</v>
      </c>
      <c r="Y18" s="37">
        <f>VLOOKUP("OCTOBER",V6:X34,3,0)</f>
        <v>0</v>
      </c>
      <c r="Z18" s="54">
        <f t="shared" si="3"/>
        <v>0</v>
      </c>
      <c r="AA18" s="41" t="s">
        <v>119</v>
      </c>
      <c r="AB18" s="42">
        <f>VLOOKUP(AA6,Z9:AL10,5,0)</f>
        <v>0</v>
      </c>
      <c r="AC18" s="57"/>
      <c r="AD18" s="57"/>
      <c r="AE18" s="58"/>
      <c r="AF18" s="58"/>
      <c r="AG18" s="58"/>
      <c r="AH18" s="58"/>
      <c r="AI18" s="58"/>
      <c r="AJ18" s="58"/>
      <c r="AK18" s="58"/>
    </row>
    <row r="19" spans="1:45" ht="15.75" customHeight="1">
      <c r="A19" s="97">
        <v>9</v>
      </c>
      <c r="B19" s="98" t="s">
        <v>150</v>
      </c>
      <c r="C19" s="127">
        <f>C18</f>
        <v>0</v>
      </c>
      <c r="D19" s="126">
        <f t="shared" si="13"/>
        <v>0</v>
      </c>
      <c r="E19" s="118">
        <f t="shared" si="14"/>
        <v>0</v>
      </c>
      <c r="F19" s="123">
        <f t="shared" si="4"/>
        <v>0</v>
      </c>
      <c r="G19" s="212">
        <f t="shared" si="5"/>
        <v>0</v>
      </c>
      <c r="H19" s="213"/>
      <c r="I19" s="72"/>
      <c r="J19" s="193">
        <f t="shared" si="1"/>
        <v>0</v>
      </c>
      <c r="K19" s="194"/>
      <c r="L19" s="130">
        <f t="shared" si="6"/>
        <v>0</v>
      </c>
      <c r="M19" s="131">
        <f>M18</f>
        <v>0</v>
      </c>
      <c r="N19" s="124">
        <f t="shared" si="8"/>
        <v>0</v>
      </c>
      <c r="O19" s="85">
        <f t="shared" si="9"/>
        <v>0</v>
      </c>
      <c r="P19" s="71">
        <f t="shared" si="12"/>
        <v>0</v>
      </c>
      <c r="Q19" s="85">
        <f t="shared" si="10"/>
        <v>0</v>
      </c>
      <c r="R19" s="86">
        <f t="shared" si="10"/>
        <v>0</v>
      </c>
      <c r="S19" s="187">
        <f t="shared" si="2"/>
        <v>0</v>
      </c>
      <c r="T19" s="188"/>
      <c r="U19" s="50"/>
      <c r="V19" s="38" t="s">
        <v>107</v>
      </c>
      <c r="W19" s="52"/>
      <c r="X19" s="37">
        <f>Y18</f>
        <v>0</v>
      </c>
      <c r="Y19" s="37">
        <f>VLOOKUP("NOVEMBER",V6:X35,3,0)</f>
        <v>0</v>
      </c>
      <c r="Z19" s="54">
        <f t="shared" si="3"/>
        <v>0</v>
      </c>
      <c r="AA19" s="41" t="s">
        <v>120</v>
      </c>
      <c r="AB19" s="42">
        <f>VLOOKUP(AA6,Z9:AL10,6,0)</f>
        <v>0</v>
      </c>
      <c r="AC19" s="57"/>
      <c r="AD19" s="57"/>
      <c r="AE19" s="58"/>
      <c r="AF19" s="58"/>
      <c r="AG19" s="58"/>
      <c r="AH19" s="58"/>
      <c r="AI19" s="58"/>
      <c r="AJ19" s="58"/>
      <c r="AK19" s="58"/>
    </row>
    <row r="20" spans="1:45" ht="15.75" customHeight="1">
      <c r="A20" s="97">
        <v>10</v>
      </c>
      <c r="B20" s="98" t="s">
        <v>151</v>
      </c>
      <c r="C20" s="127">
        <v>0</v>
      </c>
      <c r="D20" s="126">
        <f t="shared" si="13"/>
        <v>0</v>
      </c>
      <c r="E20" s="118">
        <f t="shared" si="14"/>
        <v>0</v>
      </c>
      <c r="F20" s="123">
        <f t="shared" si="4"/>
        <v>0</v>
      </c>
      <c r="G20" s="212">
        <f t="shared" si="5"/>
        <v>0</v>
      </c>
      <c r="H20" s="213"/>
      <c r="I20" s="72"/>
      <c r="J20" s="193">
        <f t="shared" si="1"/>
        <v>0</v>
      </c>
      <c r="K20" s="194"/>
      <c r="L20" s="130">
        <f t="shared" si="6"/>
        <v>0</v>
      </c>
      <c r="M20" s="131">
        <f t="shared" si="7"/>
        <v>0</v>
      </c>
      <c r="N20" s="124">
        <f t="shared" si="8"/>
        <v>0</v>
      </c>
      <c r="O20" s="85">
        <f t="shared" si="9"/>
        <v>0</v>
      </c>
      <c r="P20" s="71">
        <f t="shared" si="12"/>
        <v>0</v>
      </c>
      <c r="Q20" s="85">
        <f t="shared" si="10"/>
        <v>0</v>
      </c>
      <c r="R20" s="86">
        <f t="shared" si="10"/>
        <v>0</v>
      </c>
      <c r="S20" s="187">
        <f t="shared" si="2"/>
        <v>0</v>
      </c>
      <c r="T20" s="188"/>
      <c r="U20" s="50"/>
      <c r="V20" s="38" t="s">
        <v>108</v>
      </c>
      <c r="W20" s="52"/>
      <c r="X20" s="37">
        <f t="shared" si="11"/>
        <v>0</v>
      </c>
      <c r="Y20" s="37">
        <f>VLOOKUP("DECEMBER",V6:X37,3,0)</f>
        <v>0</v>
      </c>
      <c r="Z20" s="54">
        <f t="shared" si="3"/>
        <v>0</v>
      </c>
      <c r="AA20" s="41" t="s">
        <v>121</v>
      </c>
      <c r="AB20" s="42">
        <f>VLOOKUP(AA6,Z9:AL10,7,0)</f>
        <v>0</v>
      </c>
      <c r="AC20" s="57"/>
      <c r="AD20" s="57"/>
      <c r="AE20" s="58"/>
      <c r="AF20" s="58"/>
      <c r="AG20" s="58"/>
      <c r="AH20" s="58"/>
      <c r="AI20" s="58"/>
      <c r="AJ20" s="58"/>
      <c r="AK20" s="58"/>
    </row>
    <row r="21" spans="1:45" ht="15.75" customHeight="1">
      <c r="A21" s="97">
        <v>11</v>
      </c>
      <c r="B21" s="99" t="s">
        <v>152</v>
      </c>
      <c r="C21" s="127">
        <f>C20</f>
        <v>0</v>
      </c>
      <c r="D21" s="126">
        <f>D20</f>
        <v>0</v>
      </c>
      <c r="E21" s="118">
        <f t="shared" si="14"/>
        <v>0</v>
      </c>
      <c r="F21" s="123">
        <f t="shared" si="4"/>
        <v>0</v>
      </c>
      <c r="G21" s="212">
        <f t="shared" si="5"/>
        <v>0</v>
      </c>
      <c r="H21" s="213"/>
      <c r="I21" s="72"/>
      <c r="J21" s="193">
        <f t="shared" si="1"/>
        <v>0</v>
      </c>
      <c r="K21" s="194"/>
      <c r="L21" s="130">
        <f t="shared" si="6"/>
        <v>0</v>
      </c>
      <c r="M21" s="131">
        <f>M20</f>
        <v>0</v>
      </c>
      <c r="N21" s="124">
        <f t="shared" si="8"/>
        <v>0</v>
      </c>
      <c r="O21" s="85">
        <f t="shared" si="9"/>
        <v>0</v>
      </c>
      <c r="P21" s="71">
        <f t="shared" si="12"/>
        <v>0</v>
      </c>
      <c r="Q21" s="85">
        <f t="shared" si="10"/>
        <v>0</v>
      </c>
      <c r="R21" s="86">
        <f t="shared" si="10"/>
        <v>0</v>
      </c>
      <c r="S21" s="187">
        <f t="shared" si="2"/>
        <v>0</v>
      </c>
      <c r="T21" s="188"/>
      <c r="U21" s="50"/>
      <c r="V21" s="38" t="s">
        <v>111</v>
      </c>
      <c r="W21" s="52"/>
      <c r="X21" s="37">
        <f t="shared" si="11"/>
        <v>0</v>
      </c>
      <c r="Y21" s="37">
        <f>VLOOKUP("JANUARY",V6:X38,3,0)</f>
        <v>0</v>
      </c>
      <c r="Z21" s="54">
        <f t="shared" si="3"/>
        <v>0</v>
      </c>
      <c r="AA21" s="41" t="s">
        <v>122</v>
      </c>
      <c r="AB21" s="42">
        <f>VLOOKUP(AA6,Z9:AL10,8,0)</f>
        <v>0</v>
      </c>
      <c r="AC21" s="57"/>
      <c r="AD21" s="57"/>
      <c r="AE21" s="58"/>
      <c r="AF21" s="58"/>
      <c r="AG21" s="58"/>
      <c r="AH21" s="58"/>
      <c r="AI21" s="58"/>
      <c r="AJ21" s="58"/>
      <c r="AK21" s="58"/>
    </row>
    <row r="22" spans="1:45" ht="15.75" customHeight="1" thickBot="1">
      <c r="A22" s="100">
        <v>12</v>
      </c>
      <c r="B22" s="99" t="s">
        <v>153</v>
      </c>
      <c r="C22" s="127">
        <f t="shared" ref="C22" si="15">C21</f>
        <v>0</v>
      </c>
      <c r="D22" s="126">
        <f t="shared" si="13"/>
        <v>0</v>
      </c>
      <c r="E22" s="118">
        <f t="shared" si="14"/>
        <v>0</v>
      </c>
      <c r="F22" s="123">
        <f t="shared" si="4"/>
        <v>0</v>
      </c>
      <c r="G22" s="212">
        <f t="shared" si="5"/>
        <v>0</v>
      </c>
      <c r="H22" s="213"/>
      <c r="I22" s="72"/>
      <c r="J22" s="195">
        <f t="shared" si="1"/>
        <v>0</v>
      </c>
      <c r="K22" s="196"/>
      <c r="L22" s="132">
        <f>L21</f>
        <v>0</v>
      </c>
      <c r="M22" s="133">
        <f t="shared" si="7"/>
        <v>0</v>
      </c>
      <c r="N22" s="125">
        <f t="shared" si="8"/>
        <v>0</v>
      </c>
      <c r="O22" s="87">
        <f t="shared" si="9"/>
        <v>0</v>
      </c>
      <c r="P22" s="90">
        <f t="shared" si="12"/>
        <v>0</v>
      </c>
      <c r="Q22" s="87">
        <f t="shared" si="10"/>
        <v>0</v>
      </c>
      <c r="R22" s="86">
        <f t="shared" si="10"/>
        <v>0</v>
      </c>
      <c r="S22" s="199">
        <f t="shared" si="2"/>
        <v>0</v>
      </c>
      <c r="T22" s="200"/>
      <c r="U22" s="50"/>
      <c r="V22" s="38" t="s">
        <v>112</v>
      </c>
      <c r="W22" s="52"/>
      <c r="X22" s="37">
        <f t="shared" si="11"/>
        <v>0</v>
      </c>
      <c r="Y22" s="37">
        <f>VLOOKUP("FEBRUARY",V6:X39,3,0)</f>
        <v>0</v>
      </c>
      <c r="Z22" s="54">
        <f t="shared" si="3"/>
        <v>0</v>
      </c>
      <c r="AA22" s="41" t="s">
        <v>123</v>
      </c>
      <c r="AB22" s="42">
        <f>VLOOKUP(AA6,Z9:AL10,9,0)</f>
        <v>0</v>
      </c>
      <c r="AC22" s="57"/>
      <c r="AD22" s="57"/>
      <c r="AE22" s="58"/>
      <c r="AF22" s="58"/>
      <c r="AG22" s="58"/>
      <c r="AH22" s="58"/>
      <c r="AI22" s="58"/>
      <c r="AJ22" s="58"/>
      <c r="AK22" s="58"/>
    </row>
    <row r="23" spans="1:45" ht="15.75" customHeight="1" thickBot="1">
      <c r="A23" s="250" t="s">
        <v>26</v>
      </c>
      <c r="B23" s="251"/>
      <c r="C23" s="94">
        <f>SUM(C11:C22)</f>
        <v>0</v>
      </c>
      <c r="D23" s="94">
        <f>SUM(D11:D22)</f>
        <v>0</v>
      </c>
      <c r="E23" s="94">
        <f t="shared" ref="E23:Q23" si="16">SUM(E11:E22)</f>
        <v>0</v>
      </c>
      <c r="F23" s="94">
        <f t="shared" si="16"/>
        <v>0</v>
      </c>
      <c r="G23" s="206">
        <f>SUM(G11:H22)</f>
        <v>0</v>
      </c>
      <c r="H23" s="207"/>
      <c r="I23" s="94">
        <f>SUM(I11:I22)</f>
        <v>0</v>
      </c>
      <c r="J23" s="197">
        <f>SUM(C23:I23)</f>
        <v>0</v>
      </c>
      <c r="K23" s="198"/>
      <c r="L23" s="101">
        <f>SUM(L11:L22)</f>
        <v>0</v>
      </c>
      <c r="M23" s="102">
        <f t="shared" si="16"/>
        <v>0</v>
      </c>
      <c r="N23" s="102">
        <f t="shared" si="16"/>
        <v>0</v>
      </c>
      <c r="O23" s="102">
        <f t="shared" si="16"/>
        <v>0</v>
      </c>
      <c r="P23" s="102">
        <f t="shared" si="16"/>
        <v>0</v>
      </c>
      <c r="Q23" s="102">
        <f t="shared" si="16"/>
        <v>0</v>
      </c>
      <c r="R23" s="102">
        <f>SUM(R11:R22)</f>
        <v>0</v>
      </c>
      <c r="S23" s="201">
        <f>SUM(L23:R23)</f>
        <v>0</v>
      </c>
      <c r="T23" s="202"/>
      <c r="U23" s="50"/>
      <c r="V23" s="50"/>
      <c r="W23" s="52"/>
      <c r="X23" s="52"/>
      <c r="Y23" s="52"/>
      <c r="Z23" s="42"/>
      <c r="AA23" s="41" t="s">
        <v>124</v>
      </c>
      <c r="AB23" s="42">
        <f>VLOOKUP(AA6,Z9:AL10,10,0)</f>
        <v>0</v>
      </c>
      <c r="AC23" s="57"/>
      <c r="AD23" s="57"/>
      <c r="AE23" s="58"/>
      <c r="AF23" s="58"/>
      <c r="AG23" s="58"/>
      <c r="AH23" s="58"/>
      <c r="AI23" s="58"/>
      <c r="AJ23" s="58"/>
      <c r="AK23" s="58"/>
    </row>
    <row r="24" spans="1:45" ht="15.75" customHeight="1" thickBot="1">
      <c r="A24" s="257" t="s">
        <v>38</v>
      </c>
      <c r="B24" s="258"/>
      <c r="C24" s="258"/>
      <c r="D24" s="258"/>
      <c r="E24" s="258"/>
      <c r="F24" s="223" t="s">
        <v>32</v>
      </c>
      <c r="G24" s="224"/>
      <c r="H24" s="224"/>
      <c r="I24" s="225"/>
      <c r="J24" s="208"/>
      <c r="K24" s="209"/>
      <c r="L24" s="203" t="s">
        <v>37</v>
      </c>
      <c r="M24" s="203"/>
      <c r="N24" s="203"/>
      <c r="O24" s="203"/>
      <c r="P24" s="214">
        <f>IF(O26&gt;=25000,25000,O26)</f>
        <v>0</v>
      </c>
      <c r="Q24" s="214"/>
      <c r="R24" s="214"/>
      <c r="S24" s="214"/>
      <c r="T24" s="215"/>
      <c r="W24" s="42"/>
      <c r="X24" s="42"/>
      <c r="Y24" s="42"/>
      <c r="Z24" s="42"/>
      <c r="AA24" s="41" t="s">
        <v>125</v>
      </c>
      <c r="AB24" s="42">
        <f>VLOOKUP(AA6,Z9:AL10,11,0)</f>
        <v>0</v>
      </c>
      <c r="AC24" s="47"/>
      <c r="AD24" s="47"/>
    </row>
    <row r="25" spans="1:45" ht="15.75" customHeight="1">
      <c r="A25" s="204" t="s">
        <v>29</v>
      </c>
      <c r="B25" s="205"/>
      <c r="C25" s="205"/>
      <c r="D25" s="205"/>
      <c r="E25" s="80">
        <v>0</v>
      </c>
      <c r="F25" s="220" t="s">
        <v>33</v>
      </c>
      <c r="G25" s="221"/>
      <c r="H25" s="221"/>
      <c r="I25" s="222"/>
      <c r="J25" s="210"/>
      <c r="K25" s="211"/>
      <c r="L25" s="216" t="s">
        <v>39</v>
      </c>
      <c r="M25" s="217"/>
      <c r="N25" s="217"/>
      <c r="O25" s="76">
        <v>0</v>
      </c>
      <c r="P25" s="214"/>
      <c r="Q25" s="214"/>
      <c r="R25" s="214"/>
      <c r="S25" s="214"/>
      <c r="T25" s="215"/>
      <c r="Z25" s="47"/>
      <c r="AA25" s="41" t="s">
        <v>126</v>
      </c>
      <c r="AB25" s="42">
        <f>VLOOKUP(AA6,Z9:AL10,12,0)</f>
        <v>0</v>
      </c>
      <c r="AC25" s="47"/>
      <c r="AD25" s="47"/>
    </row>
    <row r="26" spans="1:45" ht="15.75" customHeight="1">
      <c r="A26" s="204" t="s">
        <v>30</v>
      </c>
      <c r="B26" s="205"/>
      <c r="C26" s="205"/>
      <c r="D26" s="205"/>
      <c r="E26" s="80">
        <v>0</v>
      </c>
      <c r="F26" s="220" t="s">
        <v>34</v>
      </c>
      <c r="G26" s="221"/>
      <c r="H26" s="221"/>
      <c r="I26" s="222"/>
      <c r="J26" s="210">
        <v>0</v>
      </c>
      <c r="K26" s="211"/>
      <c r="L26" s="204" t="s">
        <v>40</v>
      </c>
      <c r="M26" s="205"/>
      <c r="N26" s="205"/>
      <c r="O26" s="77">
        <v>0</v>
      </c>
      <c r="P26" s="214"/>
      <c r="Q26" s="214"/>
      <c r="R26" s="214"/>
      <c r="S26" s="214"/>
      <c r="T26" s="215"/>
      <c r="AA26" s="41" t="s">
        <v>127</v>
      </c>
      <c r="AB26" s="42">
        <f>VLOOKUP(AA6,Z9:AL10,13,0)</f>
        <v>0</v>
      </c>
    </row>
    <row r="27" spans="1:45" ht="15.75" customHeight="1">
      <c r="A27" s="204" t="s">
        <v>31</v>
      </c>
      <c r="B27" s="205"/>
      <c r="C27" s="205"/>
      <c r="D27" s="205"/>
      <c r="E27" s="80"/>
      <c r="F27" s="220" t="s">
        <v>35</v>
      </c>
      <c r="G27" s="221"/>
      <c r="H27" s="221"/>
      <c r="I27" s="222"/>
      <c r="J27" s="210"/>
      <c r="K27" s="211"/>
      <c r="L27" s="204" t="s">
        <v>41</v>
      </c>
      <c r="M27" s="205"/>
      <c r="N27" s="205"/>
      <c r="O27" s="77">
        <v>0</v>
      </c>
      <c r="P27" s="214"/>
      <c r="Q27" s="214"/>
      <c r="R27" s="214"/>
      <c r="S27" s="214"/>
      <c r="T27" s="215"/>
    </row>
    <row r="28" spans="1:45" ht="15.75" customHeight="1" thickBot="1">
      <c r="A28" s="204" t="s">
        <v>43</v>
      </c>
      <c r="B28" s="205"/>
      <c r="C28" s="205"/>
      <c r="D28" s="205"/>
      <c r="E28" s="80"/>
      <c r="F28" s="259" t="s">
        <v>36</v>
      </c>
      <c r="G28" s="260"/>
      <c r="H28" s="260"/>
      <c r="I28" s="261"/>
      <c r="J28" s="245">
        <f>SUM(J23:K27)</f>
        <v>0</v>
      </c>
      <c r="K28" s="246"/>
      <c r="L28" s="204" t="s">
        <v>42</v>
      </c>
      <c r="M28" s="205"/>
      <c r="N28" s="205"/>
      <c r="O28" s="106">
        <f>G23</f>
        <v>0</v>
      </c>
      <c r="P28" s="214"/>
      <c r="Q28" s="214"/>
      <c r="R28" s="214"/>
      <c r="S28" s="214"/>
      <c r="T28" s="215"/>
    </row>
    <row r="29" spans="1:45" ht="15.75" customHeight="1" thickBot="1">
      <c r="A29" s="254" t="s">
        <v>28</v>
      </c>
      <c r="B29" s="255"/>
      <c r="C29" s="255"/>
      <c r="D29" s="256"/>
      <c r="E29" s="105">
        <f>SUM(B32,E26,E27,E28)</f>
        <v>0</v>
      </c>
      <c r="F29" s="262" t="s">
        <v>27</v>
      </c>
      <c r="G29" s="263"/>
      <c r="H29" s="263"/>
      <c r="I29" s="264"/>
      <c r="J29" s="218">
        <f>E29</f>
        <v>0</v>
      </c>
      <c r="K29" s="219"/>
      <c r="L29" s="204" t="s">
        <v>100</v>
      </c>
      <c r="M29" s="205"/>
      <c r="N29" s="205"/>
      <c r="O29" s="107">
        <f>IF(J25&gt;=35000,35000,J25)</f>
        <v>0</v>
      </c>
      <c r="P29" s="214"/>
      <c r="Q29" s="214"/>
      <c r="R29" s="214"/>
      <c r="S29" s="214"/>
      <c r="T29" s="215"/>
    </row>
    <row r="30" spans="1:45" ht="15.75" customHeight="1">
      <c r="A30" s="252">
        <f>IF(E25&lt;0,10000,E25-10000)</f>
        <v>-10000</v>
      </c>
      <c r="B30" s="253"/>
      <c r="C30" s="59">
        <v>0</v>
      </c>
      <c r="D30" s="59"/>
      <c r="E30" s="60"/>
      <c r="F30" s="234" t="s">
        <v>44</v>
      </c>
      <c r="G30" s="235"/>
      <c r="H30" s="235"/>
      <c r="I30" s="236"/>
      <c r="J30" s="228">
        <f>SUM(J28:K29)</f>
        <v>0</v>
      </c>
      <c r="K30" s="229"/>
      <c r="L30" s="204" t="s">
        <v>113</v>
      </c>
      <c r="M30" s="205"/>
      <c r="N30" s="205"/>
      <c r="O30" s="78">
        <v>0</v>
      </c>
      <c r="P30" s="60"/>
      <c r="Q30" s="60"/>
      <c r="R30" s="60"/>
      <c r="S30" s="60"/>
      <c r="T30" s="64"/>
    </row>
    <row r="31" spans="1:45" ht="15.75" customHeight="1" thickBot="1">
      <c r="A31" s="61"/>
      <c r="B31" s="62"/>
      <c r="C31" s="62"/>
      <c r="D31" s="62"/>
      <c r="E31" s="93">
        <f>SUM(J28+E29)</f>
        <v>0</v>
      </c>
      <c r="F31" s="231" t="s">
        <v>89</v>
      </c>
      <c r="G31" s="232"/>
      <c r="H31" s="232"/>
      <c r="I31" s="233"/>
      <c r="J31" s="229">
        <v>50000</v>
      </c>
      <c r="K31" s="240"/>
      <c r="L31" s="242" t="s">
        <v>28</v>
      </c>
      <c r="M31" s="243"/>
      <c r="N31" s="243"/>
      <c r="O31" s="108">
        <f>SUM(Q33,P24,O27,O28,O29,O30)</f>
        <v>0</v>
      </c>
      <c r="P31" s="60"/>
      <c r="Q31" s="60"/>
      <c r="R31" s="60"/>
      <c r="S31" s="60"/>
      <c r="T31" s="64"/>
    </row>
    <row r="32" spans="1:45" ht="15.75" customHeight="1">
      <c r="A32" s="61"/>
      <c r="B32" s="62">
        <f>MAX(A30-C30,0)</f>
        <v>0</v>
      </c>
      <c r="C32" s="62"/>
      <c r="D32" s="62"/>
      <c r="E32" s="93">
        <f>SUM(J28+E29)</f>
        <v>0</v>
      </c>
      <c r="F32" s="231" t="s">
        <v>24</v>
      </c>
      <c r="G32" s="232"/>
      <c r="H32" s="232"/>
      <c r="I32" s="233"/>
      <c r="J32" s="229">
        <f>L23</f>
        <v>0</v>
      </c>
      <c r="K32" s="241"/>
      <c r="L32" s="244">
        <f>SUM(J31,J32,J33)</f>
        <v>50000</v>
      </c>
      <c r="M32" s="244"/>
      <c r="N32" s="244"/>
      <c r="O32" s="63"/>
      <c r="P32" s="60"/>
      <c r="Q32" s="60"/>
      <c r="R32" s="60"/>
      <c r="S32" s="60"/>
      <c r="T32" s="64"/>
    </row>
    <row r="33" spans="1:20" ht="15.75" customHeight="1">
      <c r="A33" s="61"/>
      <c r="B33" s="62"/>
      <c r="C33" s="62"/>
      <c r="D33" s="62"/>
      <c r="E33" s="65"/>
      <c r="F33" s="234" t="s">
        <v>37</v>
      </c>
      <c r="G33" s="235"/>
      <c r="H33" s="235"/>
      <c r="I33" s="236"/>
      <c r="J33" s="228">
        <f>O31</f>
        <v>0</v>
      </c>
      <c r="K33" s="230"/>
      <c r="L33" s="66"/>
      <c r="M33" s="67"/>
      <c r="N33" s="67"/>
      <c r="O33" s="79"/>
      <c r="P33" s="60"/>
      <c r="Q33" s="60">
        <f>IF(O25&gt;=200000,200000,O25)</f>
        <v>0</v>
      </c>
      <c r="R33" s="60"/>
      <c r="S33" s="60"/>
      <c r="T33" s="64"/>
    </row>
    <row r="34" spans="1:20" ht="15.75" customHeight="1" thickBot="1">
      <c r="A34" s="68"/>
      <c r="B34" s="69"/>
      <c r="C34" s="69"/>
      <c r="D34" s="69"/>
      <c r="E34" s="70"/>
      <c r="F34" s="237" t="s">
        <v>26</v>
      </c>
      <c r="G34" s="238"/>
      <c r="H34" s="238"/>
      <c r="I34" s="239"/>
      <c r="J34" s="226">
        <f>SUM(J30-L32)</f>
        <v>-50000</v>
      </c>
      <c r="K34" s="227"/>
      <c r="L34" s="247" t="s">
        <v>130</v>
      </c>
      <c r="M34" s="248"/>
      <c r="N34" s="248"/>
      <c r="O34" s="248"/>
      <c r="P34" s="248"/>
      <c r="Q34" s="248"/>
      <c r="R34" s="248"/>
      <c r="S34" s="248"/>
      <c r="T34" s="249"/>
    </row>
  </sheetData>
  <sheetProtection algorithmName="SHA-512" hashValue="wDNbAm1uCfxwda6cv+DBHxiIBNXfIFD3vdec/kjuYWoAqi+grvLGQUfIn5kubRqHrvFsUlzG6+rKjPjmRmRpoA==" saltValue="Spw3hWbsh02M3kbVColM5w==" spinCount="100000" sheet="1" objects="1" scenarios="1"/>
  <mergeCells count="114">
    <mergeCell ref="G15:H15"/>
    <mergeCell ref="G16:H16"/>
    <mergeCell ref="G20:H20"/>
    <mergeCell ref="G17:H17"/>
    <mergeCell ref="G11:H11"/>
    <mergeCell ref="G12:H12"/>
    <mergeCell ref="G13:H13"/>
    <mergeCell ref="G14:H14"/>
    <mergeCell ref="G18:H18"/>
    <mergeCell ref="G19:H19"/>
    <mergeCell ref="A23:B23"/>
    <mergeCell ref="A30:B30"/>
    <mergeCell ref="A25:D25"/>
    <mergeCell ref="A26:D26"/>
    <mergeCell ref="A27:D27"/>
    <mergeCell ref="A28:D28"/>
    <mergeCell ref="A29:D29"/>
    <mergeCell ref="A24:E24"/>
    <mergeCell ref="F28:I28"/>
    <mergeCell ref="F29:I29"/>
    <mergeCell ref="F30:I30"/>
    <mergeCell ref="P24:T29"/>
    <mergeCell ref="L25:N25"/>
    <mergeCell ref="L26:N26"/>
    <mergeCell ref="J29:K29"/>
    <mergeCell ref="F26:I26"/>
    <mergeCell ref="F27:I27"/>
    <mergeCell ref="F24:I24"/>
    <mergeCell ref="F25:I25"/>
    <mergeCell ref="J34:K34"/>
    <mergeCell ref="J30:K30"/>
    <mergeCell ref="J33:K33"/>
    <mergeCell ref="F31:I31"/>
    <mergeCell ref="F32:I32"/>
    <mergeCell ref="F33:I33"/>
    <mergeCell ref="F34:I34"/>
    <mergeCell ref="L29:N29"/>
    <mergeCell ref="L28:N28"/>
    <mergeCell ref="L30:N30"/>
    <mergeCell ref="J31:K31"/>
    <mergeCell ref="J32:K32"/>
    <mergeCell ref="L31:N31"/>
    <mergeCell ref="L32:N32"/>
    <mergeCell ref="J28:K28"/>
    <mergeCell ref="L34:T34"/>
    <mergeCell ref="L24:O24"/>
    <mergeCell ref="L27:N27"/>
    <mergeCell ref="G23:H23"/>
    <mergeCell ref="J24:K24"/>
    <mergeCell ref="J25:K25"/>
    <mergeCell ref="J26:K26"/>
    <mergeCell ref="J27:K27"/>
    <mergeCell ref="G21:H21"/>
    <mergeCell ref="G22:H22"/>
    <mergeCell ref="S18:T18"/>
    <mergeCell ref="S19:T19"/>
    <mergeCell ref="S20:T20"/>
    <mergeCell ref="J20:K20"/>
    <mergeCell ref="J21:K21"/>
    <mergeCell ref="J22:K22"/>
    <mergeCell ref="J23:K23"/>
    <mergeCell ref="J18:K18"/>
    <mergeCell ref="J19:K19"/>
    <mergeCell ref="S21:T21"/>
    <mergeCell ref="S22:T22"/>
    <mergeCell ref="S23:T23"/>
    <mergeCell ref="S17:T17"/>
    <mergeCell ref="S11:T11"/>
    <mergeCell ref="S12:T12"/>
    <mergeCell ref="S13:T13"/>
    <mergeCell ref="S14:T14"/>
    <mergeCell ref="S15:T15"/>
    <mergeCell ref="S16:T16"/>
    <mergeCell ref="J11:K11"/>
    <mergeCell ref="J12:K12"/>
    <mergeCell ref="J13:K13"/>
    <mergeCell ref="J14:K14"/>
    <mergeCell ref="J15:K15"/>
    <mergeCell ref="J16:K16"/>
    <mergeCell ref="J17:K17"/>
    <mergeCell ref="K1:T1"/>
    <mergeCell ref="A1:J2"/>
    <mergeCell ref="K2:T2"/>
    <mergeCell ref="E4:N4"/>
    <mergeCell ref="O4:Q4"/>
    <mergeCell ref="R4:T4"/>
    <mergeCell ref="A3:T3"/>
    <mergeCell ref="A4:D4"/>
    <mergeCell ref="A5:D5"/>
    <mergeCell ref="O5:Q5"/>
    <mergeCell ref="R5:T5"/>
    <mergeCell ref="E5:N5"/>
    <mergeCell ref="A6:D6"/>
    <mergeCell ref="E6:G6"/>
    <mergeCell ref="H6:K6"/>
    <mergeCell ref="L6:N6"/>
    <mergeCell ref="O6:Q6"/>
    <mergeCell ref="R6:T6"/>
    <mergeCell ref="J10:K10"/>
    <mergeCell ref="A7:C7"/>
    <mergeCell ref="D7:F7"/>
    <mergeCell ref="H7:J7"/>
    <mergeCell ref="K7:L7"/>
    <mergeCell ref="A8:C8"/>
    <mergeCell ref="M7:O7"/>
    <mergeCell ref="P7:Q7"/>
    <mergeCell ref="R7:T7"/>
    <mergeCell ref="A9:K9"/>
    <mergeCell ref="L9:T9"/>
    <mergeCell ref="S10:T10"/>
    <mergeCell ref="S8:T8"/>
    <mergeCell ref="P8:R8"/>
    <mergeCell ref="D8:O8"/>
    <mergeCell ref="G10:H10"/>
  </mergeCells>
  <phoneticPr fontId="2" type="noConversion"/>
  <dataValidations disablePrompts="1" count="1">
    <dataValidation type="list" allowBlank="1" showInputMessage="1" showErrorMessage="1" sqref="S8:T8">
      <formula1>"NO,YES"</formula1>
    </dataValidation>
  </dataValidations>
  <hyperlinks>
    <hyperlink ref="L34:T34" r:id="rId1" display="CREATED BY :  WWW.SHREEJICORPORATIONS.IN"/>
  </hyperlinks>
  <printOptions horizontalCentered="1"/>
  <pageMargins left="0.08" right="0" top="0" bottom="0" header="0" footer="0"/>
  <pageSetup paperSize="9" orientation="landscape" verticalDpi="300" r:id="rId2"/>
  <headerFooter alignWithMargins="0"/>
  <ignoredErrors>
    <ignoredError sqref="X15" formula="1"/>
  </ignoredError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O46"/>
  <sheetViews>
    <sheetView view="pageBreakPreview" zoomScaleNormal="100" zoomScaleSheetLayoutView="100" workbookViewId="0">
      <selection activeCell="A24" sqref="A24:I24"/>
    </sheetView>
  </sheetViews>
  <sheetFormatPr defaultColWidth="9.109375" defaultRowHeight="22.8"/>
  <cols>
    <col min="1" max="1" width="5.6640625" style="9" customWidth="1"/>
    <col min="2" max="2" width="10.88671875" style="9" customWidth="1"/>
    <col min="3" max="3" width="9.109375" style="9" customWidth="1"/>
    <col min="4" max="4" width="10.109375" style="9" customWidth="1"/>
    <col min="5" max="5" width="11.109375" style="9" customWidth="1"/>
    <col min="6" max="6" width="7.88671875" style="9" bestFit="1" customWidth="1"/>
    <col min="7" max="7" width="7.44140625" style="9" customWidth="1"/>
    <col min="8" max="8" width="10" style="9" customWidth="1"/>
    <col min="9" max="9" width="5.6640625" style="9" customWidth="1"/>
    <col min="10" max="10" width="4.33203125" style="9" customWidth="1"/>
    <col min="11" max="12" width="10.109375" style="9" customWidth="1"/>
    <col min="13" max="13" width="9.88671875" style="9" hidden="1" customWidth="1"/>
    <col min="14" max="15" width="0" style="9" hidden="1" customWidth="1"/>
    <col min="16" max="16384" width="9.109375" style="9"/>
  </cols>
  <sheetData>
    <row r="1" spans="1:15" s="8" customFormat="1" ht="22.5" customHeight="1" thickBot="1">
      <c r="A1" s="267" t="s">
        <v>45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9"/>
    </row>
    <row r="2" spans="1:15" ht="19.5" customHeight="1">
      <c r="A2" s="303" t="s">
        <v>46</v>
      </c>
      <c r="B2" s="304"/>
      <c r="C2" s="304"/>
      <c r="D2" s="121">
        <f>SALARY!O23</f>
        <v>0</v>
      </c>
      <c r="E2" s="303" t="s">
        <v>49</v>
      </c>
      <c r="F2" s="304"/>
      <c r="G2" s="304"/>
      <c r="H2" s="122">
        <f>SALARY!N23</f>
        <v>0</v>
      </c>
      <c r="I2" s="270" t="s">
        <v>53</v>
      </c>
      <c r="J2" s="271"/>
      <c r="K2" s="271"/>
      <c r="L2" s="1">
        <v>0</v>
      </c>
    </row>
    <row r="3" spans="1:15" ht="19.5" customHeight="1">
      <c r="A3" s="305" t="s">
        <v>99</v>
      </c>
      <c r="B3" s="306"/>
      <c r="C3" s="306"/>
      <c r="D3" s="2">
        <v>0</v>
      </c>
      <c r="E3" s="274" t="s">
        <v>51</v>
      </c>
      <c r="F3" s="275"/>
      <c r="G3" s="275"/>
      <c r="H3" s="89"/>
      <c r="I3" s="272" t="s">
        <v>54</v>
      </c>
      <c r="J3" s="273"/>
      <c r="K3" s="273"/>
      <c r="L3" s="2">
        <v>0</v>
      </c>
    </row>
    <row r="4" spans="1:15" ht="19.5" customHeight="1">
      <c r="A4" s="274" t="s">
        <v>47</v>
      </c>
      <c r="B4" s="275"/>
      <c r="C4" s="275"/>
      <c r="D4" s="120">
        <f>SALARY!AU13</f>
        <v>0</v>
      </c>
      <c r="E4" s="300" t="s">
        <v>50</v>
      </c>
      <c r="F4" s="301"/>
      <c r="G4" s="302"/>
      <c r="H4" s="4">
        <v>0</v>
      </c>
      <c r="I4" s="274" t="s">
        <v>55</v>
      </c>
      <c r="J4" s="275"/>
      <c r="K4" s="275"/>
      <c r="L4" s="6"/>
    </row>
    <row r="5" spans="1:15" ht="19.5" customHeight="1" thickBot="1">
      <c r="A5" s="295" t="s">
        <v>48</v>
      </c>
      <c r="B5" s="296"/>
      <c r="C5" s="296"/>
      <c r="D5" s="3">
        <v>0</v>
      </c>
      <c r="E5" s="310" t="s">
        <v>52</v>
      </c>
      <c r="F5" s="311"/>
      <c r="G5" s="312"/>
      <c r="H5" s="5"/>
      <c r="I5" s="295" t="s">
        <v>56</v>
      </c>
      <c r="J5" s="296"/>
      <c r="K5" s="296"/>
      <c r="L5" s="7">
        <v>0</v>
      </c>
    </row>
    <row r="6" spans="1:15" ht="21.75" customHeight="1" thickBot="1">
      <c r="A6" s="307" t="s">
        <v>57</v>
      </c>
      <c r="B6" s="308"/>
      <c r="C6" s="308"/>
      <c r="D6" s="308"/>
      <c r="E6" s="308"/>
      <c r="F6" s="308"/>
      <c r="G6" s="309"/>
      <c r="H6" s="297">
        <f>SUM(H2:H5,D2:D5,L2:L5)</f>
        <v>0</v>
      </c>
      <c r="I6" s="298"/>
      <c r="J6" s="298"/>
      <c r="K6" s="298"/>
      <c r="L6" s="299"/>
    </row>
    <row r="7" spans="1:15" ht="18" customHeight="1">
      <c r="A7" s="317" t="s">
        <v>85</v>
      </c>
      <c r="B7" s="318"/>
      <c r="C7" s="318"/>
      <c r="D7" s="318"/>
      <c r="E7" s="318"/>
      <c r="F7" s="318"/>
      <c r="G7" s="318"/>
      <c r="H7" s="313">
        <f>SALARY!J34</f>
        <v>-50000</v>
      </c>
      <c r="I7" s="313"/>
      <c r="J7" s="313"/>
      <c r="K7" s="313"/>
      <c r="L7" s="314"/>
    </row>
    <row r="8" spans="1:15" ht="18" customHeight="1">
      <c r="A8" s="319" t="s">
        <v>86</v>
      </c>
      <c r="B8" s="320"/>
      <c r="C8" s="320"/>
      <c r="D8" s="320"/>
      <c r="E8" s="320"/>
      <c r="F8" s="320"/>
      <c r="G8" s="320"/>
      <c r="H8" s="315">
        <f>IF(H6&gt;=150000,150000,H6)</f>
        <v>0</v>
      </c>
      <c r="I8" s="315"/>
      <c r="J8" s="315"/>
      <c r="K8" s="315"/>
      <c r="L8" s="316"/>
    </row>
    <row r="9" spans="1:15" ht="18" customHeight="1">
      <c r="A9" s="321" t="s">
        <v>58</v>
      </c>
      <c r="B9" s="322"/>
      <c r="C9" s="322"/>
      <c r="D9" s="322"/>
      <c r="E9" s="322"/>
      <c r="F9" s="322"/>
      <c r="G9" s="323"/>
      <c r="H9" s="324">
        <f>SUM(H7-H8)</f>
        <v>-50000</v>
      </c>
      <c r="I9" s="325"/>
      <c r="J9" s="325"/>
      <c r="K9" s="325"/>
      <c r="L9" s="326"/>
      <c r="M9" s="81"/>
      <c r="N9" s="81"/>
      <c r="O9" s="81"/>
    </row>
    <row r="10" spans="1:15" ht="18" customHeight="1">
      <c r="A10" s="285" t="s">
        <v>87</v>
      </c>
      <c r="B10" s="280"/>
      <c r="C10" s="280"/>
      <c r="D10" s="280"/>
      <c r="E10" s="280"/>
      <c r="F10" s="280"/>
      <c r="G10" s="280"/>
      <c r="H10" s="286">
        <v>0</v>
      </c>
      <c r="I10" s="286"/>
      <c r="J10" s="286"/>
      <c r="K10" s="286"/>
      <c r="L10" s="287"/>
      <c r="M10" s="82">
        <f>IF(H10&gt;=50000,50000,H10)</f>
        <v>0</v>
      </c>
      <c r="N10" s="81"/>
      <c r="O10" s="81"/>
    </row>
    <row r="11" spans="1:15" ht="21.75" customHeight="1">
      <c r="A11" s="288" t="s">
        <v>59</v>
      </c>
      <c r="B11" s="289"/>
      <c r="C11" s="289"/>
      <c r="D11" s="289"/>
      <c r="E11" s="289"/>
      <c r="F11" s="289"/>
      <c r="G11" s="289"/>
      <c r="H11" s="290">
        <f>SUM(H9-M10)</f>
        <v>-50000</v>
      </c>
      <c r="I11" s="290"/>
      <c r="J11" s="290"/>
      <c r="K11" s="290"/>
      <c r="L11" s="291"/>
      <c r="M11" s="81"/>
      <c r="N11" s="83"/>
      <c r="O11" s="83">
        <f>IF(N11&lt;0,0,N11)</f>
        <v>0</v>
      </c>
    </row>
    <row r="12" spans="1:15" ht="33" customHeight="1">
      <c r="A12" s="292" t="s">
        <v>92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4"/>
      <c r="M12" s="81"/>
      <c r="N12" s="81"/>
      <c r="O12" s="84"/>
    </row>
    <row r="13" spans="1:15" ht="0.75" customHeight="1" thickBot="1">
      <c r="A13" s="34"/>
      <c r="B13" s="32"/>
      <c r="C13" s="32"/>
      <c r="D13" s="32"/>
      <c r="E13" s="32"/>
      <c r="F13" s="32"/>
      <c r="G13" s="32"/>
      <c r="H13" s="10">
        <f>IF(H10&gt;=50000,50000,H10)</f>
        <v>0</v>
      </c>
      <c r="I13" s="31"/>
      <c r="J13" s="31"/>
      <c r="K13" s="31"/>
      <c r="L13" s="11"/>
      <c r="M13" s="81"/>
      <c r="N13" s="81"/>
      <c r="O13" s="81"/>
    </row>
    <row r="14" spans="1:15" ht="21.75" customHeight="1" thickBot="1">
      <c r="A14" s="282" t="s">
        <v>60</v>
      </c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4"/>
      <c r="M14" s="81"/>
      <c r="N14" s="81"/>
      <c r="O14" s="81"/>
    </row>
    <row r="15" spans="1:15" ht="19.5" customHeight="1">
      <c r="A15" s="330" t="s">
        <v>65</v>
      </c>
      <c r="B15" s="278"/>
      <c r="C15" s="278"/>
      <c r="D15" s="278"/>
      <c r="E15" s="278"/>
      <c r="F15" s="278" t="s">
        <v>66</v>
      </c>
      <c r="G15" s="278"/>
      <c r="H15" s="278"/>
      <c r="I15" s="278"/>
      <c r="J15" s="278"/>
      <c r="K15" s="278" t="s">
        <v>67</v>
      </c>
      <c r="L15" s="279"/>
      <c r="M15" s="81"/>
      <c r="N15" s="81"/>
      <c r="O15" s="81"/>
    </row>
    <row r="16" spans="1:15" ht="19.5" customHeight="1">
      <c r="A16" s="274" t="s">
        <v>61</v>
      </c>
      <c r="B16" s="275"/>
      <c r="C16" s="275"/>
      <c r="D16" s="275"/>
      <c r="E16" s="275"/>
      <c r="F16" s="280" t="s">
        <v>68</v>
      </c>
      <c r="G16" s="280"/>
      <c r="H16" s="280"/>
      <c r="I16" s="280"/>
      <c r="J16" s="280"/>
      <c r="K16" s="280" t="s">
        <v>72</v>
      </c>
      <c r="L16" s="281"/>
    </row>
    <row r="17" spans="1:12" ht="19.5" customHeight="1">
      <c r="A17" s="274" t="s">
        <v>62</v>
      </c>
      <c r="B17" s="275"/>
      <c r="C17" s="275"/>
      <c r="D17" s="275"/>
      <c r="E17" s="275"/>
      <c r="F17" s="280" t="s">
        <v>69</v>
      </c>
      <c r="G17" s="280"/>
      <c r="H17" s="280"/>
      <c r="I17" s="280"/>
      <c r="J17" s="280"/>
      <c r="K17" s="276" t="b">
        <f>IF(AND(H11&gt;250000,H11&lt;=500000),(H11-250000)*0%,IF(H11&gt;500000,250000*5%))</f>
        <v>0</v>
      </c>
      <c r="L17" s="277"/>
    </row>
    <row r="18" spans="1:12" ht="19.5" customHeight="1">
      <c r="A18" s="274" t="s">
        <v>63</v>
      </c>
      <c r="B18" s="275"/>
      <c r="C18" s="275"/>
      <c r="D18" s="275"/>
      <c r="E18" s="275"/>
      <c r="F18" s="280" t="s">
        <v>70</v>
      </c>
      <c r="G18" s="280"/>
      <c r="H18" s="280"/>
      <c r="I18" s="280"/>
      <c r="J18" s="280"/>
      <c r="K18" s="276">
        <f>IF(H11&gt;500000,IF((H11-500000)&lt;500001,(H11-500000)*0.2,100000),0)</f>
        <v>0</v>
      </c>
      <c r="L18" s="277"/>
    </row>
    <row r="19" spans="1:12" ht="19.5" customHeight="1" thickBot="1">
      <c r="A19" s="295" t="s">
        <v>64</v>
      </c>
      <c r="B19" s="296"/>
      <c r="C19" s="296"/>
      <c r="D19" s="296"/>
      <c r="E19" s="296"/>
      <c r="F19" s="327" t="s">
        <v>71</v>
      </c>
      <c r="G19" s="328"/>
      <c r="H19" s="328"/>
      <c r="I19" s="328"/>
      <c r="J19" s="329"/>
      <c r="K19" s="276">
        <f>IF(H11&gt;1000000,IF((H11-1000000)&lt;200001,(H11-1000000)*0.3,(H11-1000000)*0.3),0)</f>
        <v>0</v>
      </c>
      <c r="L19" s="277"/>
    </row>
    <row r="20" spans="1:12" ht="10.5" customHeight="1" thickBot="1">
      <c r="A20" s="12"/>
      <c r="B20" s="13"/>
      <c r="C20" s="13"/>
      <c r="D20" s="13"/>
      <c r="E20" s="13"/>
      <c r="F20" s="13"/>
      <c r="G20" s="13"/>
      <c r="H20" s="14"/>
      <c r="I20" s="14"/>
      <c r="J20" s="14"/>
      <c r="K20" s="14"/>
      <c r="L20" s="15"/>
    </row>
    <row r="21" spans="1:12" ht="15.75" customHeight="1">
      <c r="A21" s="333" t="s">
        <v>75</v>
      </c>
      <c r="B21" s="334"/>
      <c r="C21" s="334"/>
      <c r="D21" s="334"/>
      <c r="E21" s="334"/>
      <c r="F21" s="334"/>
      <c r="G21" s="334"/>
      <c r="H21" s="334"/>
      <c r="I21" s="334"/>
      <c r="J21" s="110"/>
      <c r="K21" s="331">
        <f>SUM(K17:L19)</f>
        <v>0</v>
      </c>
      <c r="L21" s="332"/>
    </row>
    <row r="22" spans="1:12" ht="15.75" customHeight="1">
      <c r="A22" s="335" t="s">
        <v>73</v>
      </c>
      <c r="B22" s="336"/>
      <c r="C22" s="336"/>
      <c r="D22" s="336"/>
      <c r="E22" s="336"/>
      <c r="F22" s="336"/>
      <c r="G22" s="336"/>
      <c r="H22" s="336"/>
      <c r="I22" s="336"/>
      <c r="J22" s="111"/>
      <c r="K22" s="337">
        <v>12500</v>
      </c>
      <c r="L22" s="338"/>
    </row>
    <row r="23" spans="1:12" ht="15.75" customHeight="1">
      <c r="A23" s="335" t="s">
        <v>74</v>
      </c>
      <c r="B23" s="336"/>
      <c r="C23" s="336"/>
      <c r="D23" s="336"/>
      <c r="E23" s="336"/>
      <c r="F23" s="336"/>
      <c r="G23" s="336"/>
      <c r="H23" s="336"/>
      <c r="I23" s="336"/>
      <c r="J23" s="111"/>
      <c r="K23" s="337">
        <f>SUM(K21*4/100)</f>
        <v>0</v>
      </c>
      <c r="L23" s="338"/>
    </row>
    <row r="24" spans="1:12" ht="15.75" customHeight="1">
      <c r="A24" s="335" t="s">
        <v>76</v>
      </c>
      <c r="B24" s="336"/>
      <c r="C24" s="336"/>
      <c r="D24" s="336"/>
      <c r="E24" s="336"/>
      <c r="F24" s="336"/>
      <c r="G24" s="336"/>
      <c r="H24" s="336"/>
      <c r="I24" s="336"/>
      <c r="J24" s="111"/>
      <c r="K24" s="339">
        <f>SUM(K21+K23)</f>
        <v>0</v>
      </c>
      <c r="L24" s="340"/>
    </row>
    <row r="25" spans="1:12" ht="15.75" customHeight="1">
      <c r="A25" s="335" t="s">
        <v>77</v>
      </c>
      <c r="B25" s="336"/>
      <c r="C25" s="336"/>
      <c r="D25" s="336"/>
      <c r="E25" s="336"/>
      <c r="F25" s="336"/>
      <c r="G25" s="336"/>
      <c r="H25" s="336"/>
      <c r="I25" s="336"/>
      <c r="J25" s="111"/>
      <c r="K25" s="353"/>
      <c r="L25" s="354"/>
    </row>
    <row r="26" spans="1:12" ht="15.75" customHeight="1" thickBot="1">
      <c r="A26" s="349" t="s">
        <v>84</v>
      </c>
      <c r="B26" s="350"/>
      <c r="C26" s="350"/>
      <c r="D26" s="350"/>
      <c r="E26" s="350"/>
      <c r="F26" s="350"/>
      <c r="G26" s="350"/>
      <c r="H26" s="350"/>
      <c r="I26" s="350"/>
      <c r="J26" s="112"/>
      <c r="K26" s="355">
        <f>SUM(K24-K25)</f>
        <v>0</v>
      </c>
      <c r="L26" s="356"/>
    </row>
    <row r="27" spans="1:12" ht="6" customHeight="1">
      <c r="A27" s="16"/>
      <c r="B27" s="17"/>
      <c r="C27" s="17"/>
      <c r="D27" s="17"/>
      <c r="E27" s="17"/>
      <c r="F27" s="17"/>
      <c r="G27" s="17"/>
      <c r="H27" s="17"/>
      <c r="I27" s="17"/>
      <c r="J27" s="17"/>
      <c r="K27" s="18"/>
      <c r="L27" s="19"/>
    </row>
    <row r="28" spans="1:12" ht="17.25" customHeight="1">
      <c r="A28" s="357" t="s">
        <v>82</v>
      </c>
      <c r="B28" s="348"/>
      <c r="C28" s="348"/>
      <c r="D28" s="348"/>
      <c r="E28" s="348"/>
      <c r="F28" s="348"/>
      <c r="G28" s="348"/>
      <c r="H28" s="348"/>
      <c r="I28" s="348"/>
      <c r="J28" s="348"/>
      <c r="K28" s="348"/>
      <c r="L28" s="358"/>
    </row>
    <row r="29" spans="1:12" ht="21" customHeight="1" thickBot="1">
      <c r="A29" s="359" t="s">
        <v>83</v>
      </c>
      <c r="B29" s="360"/>
      <c r="C29" s="360"/>
      <c r="D29" s="360"/>
      <c r="E29" s="360"/>
      <c r="F29" s="360"/>
      <c r="G29" s="360"/>
      <c r="H29" s="360"/>
      <c r="I29" s="360"/>
      <c r="J29" s="360"/>
      <c r="K29" s="360"/>
      <c r="L29" s="361"/>
    </row>
    <row r="30" spans="1:12" ht="6" customHeight="1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2"/>
      <c r="L30" s="23"/>
    </row>
    <row r="31" spans="1:12" ht="24.75" customHeight="1">
      <c r="A31" s="362" t="s">
        <v>78</v>
      </c>
      <c r="B31" s="363"/>
      <c r="C31" s="352"/>
      <c r="D31" s="352"/>
      <c r="E31" s="352"/>
      <c r="F31" s="24"/>
      <c r="G31" s="24"/>
      <c r="H31" s="24"/>
      <c r="I31" s="364"/>
      <c r="J31" s="364"/>
      <c r="K31" s="35"/>
      <c r="L31" s="36"/>
    </row>
    <row r="32" spans="1:12" ht="17.25" customHeight="1">
      <c r="A32" s="362" t="s">
        <v>79</v>
      </c>
      <c r="B32" s="363"/>
      <c r="C32" s="351"/>
      <c r="D32" s="352"/>
      <c r="E32" s="33"/>
      <c r="F32" s="24"/>
      <c r="G32" s="24"/>
      <c r="H32" s="24"/>
      <c r="I32" s="24"/>
      <c r="J32" s="25"/>
      <c r="K32" s="343"/>
      <c r="L32" s="344"/>
    </row>
    <row r="33" spans="1:12" ht="38.25" customHeight="1">
      <c r="A33" s="26"/>
      <c r="B33" s="27"/>
      <c r="C33" s="24"/>
      <c r="D33" s="24"/>
      <c r="E33" s="24"/>
      <c r="F33" s="24"/>
      <c r="G33" s="24"/>
      <c r="H33" s="24"/>
      <c r="I33" s="24"/>
      <c r="J33" s="25"/>
      <c r="K33" s="29"/>
      <c r="L33" s="30"/>
    </row>
    <row r="34" spans="1:12" ht="17.25" customHeight="1" thickBot="1">
      <c r="A34" s="341" t="s">
        <v>80</v>
      </c>
      <c r="B34" s="342"/>
      <c r="C34" s="28"/>
      <c r="D34" s="28"/>
      <c r="E34" s="28"/>
      <c r="F34" s="28"/>
      <c r="G34" s="28"/>
      <c r="H34" s="28"/>
      <c r="I34" s="28"/>
      <c r="J34" s="28"/>
      <c r="K34" s="345" t="s">
        <v>81</v>
      </c>
      <c r="L34" s="346"/>
    </row>
    <row r="35" spans="1:12" ht="8.25" customHeight="1">
      <c r="A35" s="348"/>
      <c r="B35" s="348"/>
      <c r="C35" s="348"/>
      <c r="D35" s="348"/>
      <c r="E35" s="348"/>
      <c r="F35" s="348"/>
      <c r="G35" s="348"/>
      <c r="H35" s="348"/>
      <c r="I35" s="348"/>
      <c r="J35" s="348"/>
      <c r="K35" s="347"/>
      <c r="L35" s="347"/>
    </row>
    <row r="36" spans="1:12" ht="17.25" customHeight="1">
      <c r="A36" s="366" t="s">
        <v>96</v>
      </c>
      <c r="B36" s="366"/>
      <c r="C36" s="366"/>
      <c r="D36" s="366"/>
      <c r="E36" s="366"/>
      <c r="F36" s="366"/>
      <c r="G36" s="366"/>
      <c r="H36" s="366"/>
      <c r="I36" s="366"/>
      <c r="J36" s="366"/>
      <c r="K36" s="366"/>
      <c r="L36" s="366"/>
    </row>
    <row r="37" spans="1:12" ht="17.25" customHeight="1">
      <c r="A37" s="367" t="s">
        <v>93</v>
      </c>
      <c r="B37" s="367"/>
      <c r="C37" s="367"/>
      <c r="D37" s="367"/>
      <c r="E37" s="367"/>
      <c r="F37" s="367"/>
      <c r="G37" s="367"/>
      <c r="H37" s="367"/>
      <c r="I37" s="367"/>
      <c r="J37" s="367"/>
      <c r="K37" s="367"/>
      <c r="L37" s="367"/>
    </row>
    <row r="38" spans="1:12" ht="17.25" customHeight="1">
      <c r="A38" s="367" t="s">
        <v>97</v>
      </c>
      <c r="B38" s="367"/>
      <c r="C38" s="367"/>
      <c r="D38" s="367"/>
      <c r="E38" s="367"/>
      <c r="F38" s="367"/>
      <c r="G38" s="367"/>
      <c r="H38" s="367"/>
      <c r="I38" s="367"/>
      <c r="J38" s="367"/>
      <c r="K38" s="367"/>
      <c r="L38" s="367"/>
    </row>
    <row r="39" spans="1:12" ht="17.25" customHeight="1">
      <c r="A39" s="367" t="s">
        <v>98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</row>
    <row r="40" spans="1:12" ht="17.25" customHeight="1">
      <c r="A40" s="348"/>
      <c r="B40" s="348"/>
      <c r="C40" s="348"/>
      <c r="D40" s="348"/>
      <c r="E40" s="348"/>
      <c r="F40" s="348"/>
      <c r="G40" s="348"/>
      <c r="H40" s="348"/>
      <c r="I40" s="348"/>
      <c r="J40" s="348"/>
      <c r="K40" s="348"/>
      <c r="L40" s="348"/>
    </row>
    <row r="41" spans="1:12" ht="17.25" customHeight="1">
      <c r="A41" s="352" t="s">
        <v>94</v>
      </c>
      <c r="B41" s="352"/>
      <c r="C41" s="352"/>
      <c r="D41" s="352"/>
      <c r="E41" s="352"/>
      <c r="F41" s="352"/>
      <c r="G41" s="352"/>
      <c r="H41" s="352"/>
      <c r="I41" s="352"/>
      <c r="J41" s="352"/>
      <c r="K41" s="352"/>
      <c r="L41" s="352"/>
    </row>
    <row r="42" spans="1:12" ht="17.25" customHeight="1">
      <c r="A42" s="24"/>
      <c r="B42" s="365"/>
      <c r="C42" s="365"/>
      <c r="D42" s="365"/>
      <c r="E42" s="365"/>
      <c r="F42" s="365"/>
      <c r="G42" s="365"/>
      <c r="H42" s="24"/>
      <c r="I42" s="24"/>
      <c r="J42" s="24"/>
      <c r="K42" s="24"/>
      <c r="L42" s="24"/>
    </row>
    <row r="43" spans="1:12" ht="27.75" customHeight="1">
      <c r="A43" s="24"/>
      <c r="B43" s="365"/>
      <c r="C43" s="365"/>
      <c r="D43" s="365"/>
      <c r="E43" s="365"/>
      <c r="F43" s="365"/>
      <c r="G43" s="365"/>
      <c r="H43" s="24"/>
      <c r="I43" s="24"/>
      <c r="J43" s="24"/>
      <c r="K43" s="24"/>
      <c r="L43" s="24"/>
    </row>
    <row r="44" spans="1:12" ht="10.5" customHeight="1">
      <c r="A44" s="24"/>
      <c r="B44" s="365"/>
      <c r="C44" s="365"/>
      <c r="D44" s="365"/>
      <c r="E44" s="365"/>
      <c r="F44" s="365"/>
      <c r="G44" s="365"/>
      <c r="H44" s="24"/>
      <c r="I44" s="24"/>
      <c r="J44" s="24"/>
      <c r="K44" s="24"/>
      <c r="L44" s="24"/>
    </row>
    <row r="45" spans="1:12" ht="23.25" customHeight="1">
      <c r="A45" s="24"/>
      <c r="B45" s="365"/>
      <c r="C45" s="365"/>
      <c r="D45" s="365"/>
      <c r="E45" s="365"/>
      <c r="F45" s="365"/>
      <c r="G45" s="365"/>
      <c r="H45" s="348" t="s">
        <v>95</v>
      </c>
      <c r="I45" s="348"/>
      <c r="J45" s="348"/>
      <c r="K45" s="348"/>
      <c r="L45" s="348"/>
    </row>
    <row r="46" spans="1:12" ht="11.25" customHeight="1">
      <c r="A46" s="348"/>
      <c r="B46" s="348"/>
      <c r="C46" s="348"/>
      <c r="D46" s="348"/>
      <c r="E46" s="348"/>
      <c r="F46" s="348"/>
      <c r="G46" s="348"/>
      <c r="H46" s="348"/>
      <c r="I46" s="348"/>
      <c r="J46" s="348"/>
      <c r="K46" s="348"/>
      <c r="L46" s="348"/>
    </row>
  </sheetData>
  <sheetProtection algorithmName="SHA-512" hashValue="7GcM6tarr6ni3FvakxT3W+n9kYVG8Na7Rsm6ltauwUP+6nyaye2/b6ieCiL8TmLYjetQQWGfhWxFChmM3JhygA==" saltValue="V7zFGfE+PgmAI9yfQr6N1A==" spinCount="100000" sheet="1" objects="1" scenarios="1"/>
  <mergeCells count="75">
    <mergeCell ref="A46:L46"/>
    <mergeCell ref="H45:L45"/>
    <mergeCell ref="A41:L41"/>
    <mergeCell ref="B42:G45"/>
    <mergeCell ref="A36:L36"/>
    <mergeCell ref="A37:L37"/>
    <mergeCell ref="A38:L38"/>
    <mergeCell ref="A39:L39"/>
    <mergeCell ref="A40:L40"/>
    <mergeCell ref="A25:I25"/>
    <mergeCell ref="A26:I26"/>
    <mergeCell ref="C32:D32"/>
    <mergeCell ref="C31:E31"/>
    <mergeCell ref="K25:L25"/>
    <mergeCell ref="K26:L26"/>
    <mergeCell ref="A28:L28"/>
    <mergeCell ref="A29:L29"/>
    <mergeCell ref="A31:B31"/>
    <mergeCell ref="A32:B32"/>
    <mergeCell ref="I31:J31"/>
    <mergeCell ref="A34:B34"/>
    <mergeCell ref="K32:L32"/>
    <mergeCell ref="K34:L34"/>
    <mergeCell ref="K35:L35"/>
    <mergeCell ref="A35:J35"/>
    <mergeCell ref="K21:L21"/>
    <mergeCell ref="A21:I21"/>
    <mergeCell ref="A22:I22"/>
    <mergeCell ref="A23:I23"/>
    <mergeCell ref="A24:I24"/>
    <mergeCell ref="K22:L22"/>
    <mergeCell ref="K23:L23"/>
    <mergeCell ref="K24:L24"/>
    <mergeCell ref="A16:E16"/>
    <mergeCell ref="A17:E17"/>
    <mergeCell ref="A18:E18"/>
    <mergeCell ref="A19:E19"/>
    <mergeCell ref="A15:E15"/>
    <mergeCell ref="F15:J15"/>
    <mergeCell ref="F16:J16"/>
    <mergeCell ref="F17:J17"/>
    <mergeCell ref="F18:J18"/>
    <mergeCell ref="F19:J19"/>
    <mergeCell ref="H7:L7"/>
    <mergeCell ref="H8:L8"/>
    <mergeCell ref="A7:G7"/>
    <mergeCell ref="A8:G8"/>
    <mergeCell ref="A9:G9"/>
    <mergeCell ref="H9:L9"/>
    <mergeCell ref="I5:K5"/>
    <mergeCell ref="H6:L6"/>
    <mergeCell ref="E4:G4"/>
    <mergeCell ref="A2:C2"/>
    <mergeCell ref="A3:C3"/>
    <mergeCell ref="E2:G2"/>
    <mergeCell ref="E3:G3"/>
    <mergeCell ref="A6:G6"/>
    <mergeCell ref="A5:C5"/>
    <mergeCell ref="E5:G5"/>
    <mergeCell ref="A14:L14"/>
    <mergeCell ref="A10:G10"/>
    <mergeCell ref="H10:L10"/>
    <mergeCell ref="A11:G11"/>
    <mergeCell ref="H11:L11"/>
    <mergeCell ref="A12:L12"/>
    <mergeCell ref="K19:L19"/>
    <mergeCell ref="K17:L17"/>
    <mergeCell ref="K18:L18"/>
    <mergeCell ref="K15:L15"/>
    <mergeCell ref="K16:L16"/>
    <mergeCell ref="A1:L1"/>
    <mergeCell ref="I2:K2"/>
    <mergeCell ref="I3:K3"/>
    <mergeCell ref="I4:K4"/>
    <mergeCell ref="A4:C4"/>
  </mergeCells>
  <printOptions horizontalCentered="1"/>
  <pageMargins left="0.05" right="0.01" top="0.23622047244094491" bottom="0.16" header="0.15748031496062992" footer="0.51181102362204722"/>
  <pageSetup paperSize="9" orientation="portrait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9"/>
  <sheetViews>
    <sheetView tabSelected="1" workbookViewId="0">
      <selection activeCell="D2" sqref="D2"/>
    </sheetView>
  </sheetViews>
  <sheetFormatPr defaultRowHeight="13.2"/>
  <cols>
    <col min="1" max="1" width="30.44140625" customWidth="1"/>
    <col min="2" max="2" width="25.5546875" customWidth="1"/>
    <col min="3" max="3" width="24.5546875" customWidth="1"/>
    <col min="4" max="4" width="22.109375" style="117" customWidth="1"/>
  </cols>
  <sheetData>
    <row r="1" spans="1:4" s="92" customFormat="1" ht="22.5" customHeight="1">
      <c r="A1" s="372" t="s">
        <v>156</v>
      </c>
      <c r="B1" s="372"/>
      <c r="C1" s="372"/>
      <c r="D1" s="372"/>
    </row>
    <row r="2" spans="1:4" s="92" customFormat="1" ht="22.5" customHeight="1">
      <c r="A2" s="373" t="s">
        <v>135</v>
      </c>
      <c r="B2" s="373"/>
      <c r="C2" s="373"/>
      <c r="D2" s="115">
        <f>SALARY!J30</f>
        <v>0</v>
      </c>
    </row>
    <row r="3" spans="1:4" s="92" customFormat="1" ht="22.5" customHeight="1">
      <c r="A3" s="374" t="s">
        <v>155</v>
      </c>
      <c r="B3" s="375"/>
      <c r="C3" s="376"/>
      <c r="D3" s="116">
        <v>50000</v>
      </c>
    </row>
    <row r="4" spans="1:4" s="92" customFormat="1" ht="22.5" customHeight="1">
      <c r="A4" s="373" t="s">
        <v>136</v>
      </c>
      <c r="B4" s="373"/>
      <c r="C4" s="373"/>
      <c r="D4" s="115">
        <f>D2-D3</f>
        <v>-50000</v>
      </c>
    </row>
    <row r="5" spans="1:4" s="92" customFormat="1" ht="22.5" customHeight="1">
      <c r="A5" s="369" t="s">
        <v>162</v>
      </c>
      <c r="B5" s="369"/>
      <c r="C5" s="369"/>
      <c r="D5" s="113">
        <f>-IF(D4&lt;700000,25000,0)</f>
        <v>-25000</v>
      </c>
    </row>
    <row r="6" spans="1:4" s="92" customFormat="1" ht="22.5" customHeight="1">
      <c r="A6" s="369" t="s">
        <v>154</v>
      </c>
      <c r="B6" s="369"/>
      <c r="C6" s="369"/>
      <c r="D6" s="113">
        <v>0</v>
      </c>
    </row>
    <row r="7" spans="1:4" s="92" customFormat="1" ht="22.5" customHeight="1">
      <c r="A7" s="369" t="s">
        <v>157</v>
      </c>
      <c r="B7" s="369"/>
      <c r="C7" s="369"/>
      <c r="D7" s="113">
        <f>IF(D4&gt;700000,15000,0)</f>
        <v>0</v>
      </c>
    </row>
    <row r="8" spans="1:4" s="92" customFormat="1" ht="22.5" customHeight="1">
      <c r="A8" s="369" t="s">
        <v>158</v>
      </c>
      <c r="B8" s="369"/>
      <c r="C8" s="369"/>
      <c r="D8" s="113">
        <f>IF(D4&gt;900000,(IF((D4&gt;900000),30000)),(D4-700000)*10%)-IF(D4&lt;=700000,(D4-700000)*10%,0)</f>
        <v>0</v>
      </c>
    </row>
    <row r="9" spans="1:4" s="92" customFormat="1" ht="22.5" customHeight="1">
      <c r="A9" s="369" t="s">
        <v>159</v>
      </c>
      <c r="B9" s="369"/>
      <c r="C9" s="369"/>
      <c r="D9" s="113">
        <f>IF(D4&gt;1200000,(IF((D4&gt;1200000),45000)),(D4-900000)*15%)-IF(D4&lt;=900000,(D4-900000)*15%,0)</f>
        <v>0</v>
      </c>
    </row>
    <row r="10" spans="1:4" s="92" customFormat="1" ht="22.5" customHeight="1">
      <c r="A10" s="369" t="s">
        <v>160</v>
      </c>
      <c r="B10" s="369"/>
      <c r="C10" s="369"/>
      <c r="D10" s="113">
        <f>IF(D4&gt;1500000,(IF((D4&gt;1500000),60000)),(D4-1200000)*20%)-IF(D4&lt;=1200000,(D4-1200000)*20%,0)</f>
        <v>0</v>
      </c>
    </row>
    <row r="11" spans="1:4" s="92" customFormat="1" ht="22.5" customHeight="1">
      <c r="A11" s="369" t="s">
        <v>161</v>
      </c>
      <c r="B11" s="369"/>
      <c r="C11" s="369"/>
      <c r="D11" s="113">
        <f>IF(D4&gt;1500000,(D4-1500000)*30%,0)</f>
        <v>0</v>
      </c>
    </row>
    <row r="12" spans="1:4" s="92" customFormat="1" ht="22.5" customHeight="1">
      <c r="A12" s="369"/>
      <c r="B12" s="369"/>
      <c r="C12" s="369"/>
      <c r="D12" s="113"/>
    </row>
    <row r="13" spans="1:4" s="92" customFormat="1" ht="22.5" customHeight="1">
      <c r="A13" s="371" t="s">
        <v>131</v>
      </c>
      <c r="B13" s="371"/>
      <c r="C13" s="371"/>
      <c r="D13" s="115">
        <f>SUM(D6:D12)</f>
        <v>0</v>
      </c>
    </row>
    <row r="14" spans="1:4" s="92" customFormat="1" ht="22.5" customHeight="1">
      <c r="A14" s="369" t="s">
        <v>137</v>
      </c>
      <c r="B14" s="369"/>
      <c r="C14" s="369"/>
      <c r="D14" s="115">
        <f>IF(D4&gt;5000000,D13*10%,0)</f>
        <v>0</v>
      </c>
    </row>
    <row r="15" spans="1:4" s="92" customFormat="1" ht="22.5" customHeight="1">
      <c r="A15" s="369" t="s">
        <v>132</v>
      </c>
      <c r="B15" s="369"/>
      <c r="C15" s="369"/>
      <c r="D15" s="115">
        <f>(+D13+D14)*4%</f>
        <v>0</v>
      </c>
    </row>
    <row r="16" spans="1:4" s="92" customFormat="1" ht="22.5" customHeight="1">
      <c r="A16" s="370" t="s">
        <v>140</v>
      </c>
      <c r="B16" s="370"/>
      <c r="C16" s="370"/>
      <c r="D16" s="115">
        <f>ROUND(D13+D14+D15,0)</f>
        <v>0</v>
      </c>
    </row>
    <row r="17" spans="1:4" s="92" customFormat="1" ht="22.5" customHeight="1">
      <c r="A17" s="368" t="s">
        <v>138</v>
      </c>
      <c r="B17" s="368"/>
      <c r="C17" s="368"/>
      <c r="D17" s="115"/>
    </row>
    <row r="18" spans="1:4" s="92" customFormat="1" ht="22.5" customHeight="1">
      <c r="A18" s="368" t="s">
        <v>139</v>
      </c>
      <c r="B18" s="368"/>
      <c r="C18" s="368"/>
      <c r="D18" s="115">
        <f>+D16-D17</f>
        <v>0</v>
      </c>
    </row>
    <row r="19" spans="1:4" s="92" customFormat="1" ht="30.6" customHeight="1">
      <c r="A19" s="371" t="s">
        <v>133</v>
      </c>
      <c r="B19" s="371"/>
      <c r="C19" s="371"/>
      <c r="D19" s="114">
        <f>D18/D4</f>
        <v>0</v>
      </c>
    </row>
  </sheetData>
  <sheetProtection algorithmName="SHA-512" hashValue="31MreD7NZxc5jvIAR87wnVbsOEAajf3xi0as5mMA9jhic1hIqlZup92iWPxamxev6PsG8EGHm0pgZiHdbtZlWg==" saltValue="DpBTXDbnxjwCt5wl7V8voA==" spinCount="100000" sheet="1" objects="1" scenarios="1"/>
  <mergeCells count="19">
    <mergeCell ref="A1:D1"/>
    <mergeCell ref="A2:C2"/>
    <mergeCell ref="A5:C5"/>
    <mergeCell ref="A4:C4"/>
    <mergeCell ref="A13:C13"/>
    <mergeCell ref="A3:C3"/>
    <mergeCell ref="A18:C18"/>
    <mergeCell ref="A15:C15"/>
    <mergeCell ref="A16:C16"/>
    <mergeCell ref="A19:C19"/>
    <mergeCell ref="A6:C6"/>
    <mergeCell ref="A7:C7"/>
    <mergeCell ref="A8:C8"/>
    <mergeCell ref="A9:C9"/>
    <mergeCell ref="A10:C10"/>
    <mergeCell ref="A11:C11"/>
    <mergeCell ref="A12:C12"/>
    <mergeCell ref="A17:C17"/>
    <mergeCell ref="A14:C14"/>
  </mergeCells>
  <pageMargins left="0.1" right="0.18" top="0.25" bottom="0.34" header="0.12" footer="0.2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SALARY</vt:lpstr>
      <vt:lpstr>FINAL_SHEET</vt:lpstr>
      <vt:lpstr>CALCULATOR</vt:lpstr>
      <vt:lpstr>SALARY!Print_Area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SHREEJI CORPORATION</dc:creator>
  <cp:lastModifiedBy>SHREEJI CORPORATION</cp:lastModifiedBy>
  <cp:lastPrinted>2022-12-21T09:17:19Z</cp:lastPrinted>
  <dcterms:created xsi:type="dcterms:W3CDTF">1996-10-14T23:33:28Z</dcterms:created>
  <dcterms:modified xsi:type="dcterms:W3CDTF">2024-01-03T17:46:43Z</dcterms:modified>
</cp:coreProperties>
</file>